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drawings/drawing5.xml" ContentType="application/vnd.openxmlformats-officedocument.drawing+xml"/>
  <Override PartName="/xl/slicers/slicer1.xml" ContentType="application/vnd.ms-excel.slicer+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pivotTables/pivotTable33.xml" ContentType="application/vnd.openxmlformats-officedocument.spreadsheetml.pivotTable+xml"/>
  <Override PartName="/xl/drawings/drawing6.xml" ContentType="application/vnd.openxmlformats-officedocument.drawing+xml"/>
  <Override PartName="/xl/slicers/slicer2.xml" ContentType="application/vnd.ms-excel.slicer+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tables/table3.xml" ContentType="application/vnd.openxmlformats-officedocument.spreadsheetml.tab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9.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pivotTables/pivotTable34.xml" ContentType="application/vnd.openxmlformats-officedocument.spreadsheetml.pivotTable+xml"/>
  <Override PartName="/xl/drawings/drawing10.xml" ContentType="application/vnd.openxmlformats-officedocument.drawing+xml"/>
  <Override PartName="/xl/slicers/slicer3.xml" ContentType="application/vnd.ms-excel.slicer+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pivotTables/pivotTable35.xml" ContentType="application/vnd.openxmlformats-officedocument.spreadsheetml.pivotTable+xml"/>
  <Override PartName="/xl/drawings/drawing11.xml" ContentType="application/vnd.openxmlformats-officedocument.drawing+xml"/>
  <Override PartName="/xl/slicers/slicer4.xml" ContentType="application/vnd.ms-excel.slicer+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2.xml" ContentType="application/vnd.openxmlformats-officedocument.drawing+xml"/>
  <Override PartName="/xl/tables/table4.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codeName="ThisWorkbook"/>
  <mc:AlternateContent xmlns:mc="http://schemas.openxmlformats.org/markup-compatibility/2006">
    <mc:Choice Requires="x15">
      <x15ac:absPath xmlns:x15ac="http://schemas.microsoft.com/office/spreadsheetml/2010/11/ac" url="C:\Users\mthaw\Mee Mee\2. Information Management\B_ 4 W\002. 4Ws matrix\004.Yangon\Working\2019\Q2_2019\"/>
    </mc:Choice>
  </mc:AlternateContent>
  <xr:revisionPtr revIDLastSave="0" documentId="10_ncr:100000_{9083684D-47A5-41A2-AC15-56591725A7F2}" xr6:coauthVersionLast="31" xr6:coauthVersionMax="31" xr10:uidLastSave="{00000000-0000-0000-0000-000000000000}"/>
  <bookViews>
    <workbookView xWindow="0" yWindow="0" windowWidth="28800" windowHeight="12225" tabRatio="840" activeTab="11" xr2:uid="{00000000-000D-0000-FFFF-FFFF00000000}"/>
  </bookViews>
  <sheets>
    <sheet name="Guide" sheetId="81" r:id="rId1"/>
    <sheet name="Sheet2" sheetId="121" state="hidden" r:id="rId2"/>
    <sheet name="DATABASE" sheetId="25" r:id="rId3"/>
    <sheet name="Site_DB" sheetId="91" r:id="rId4"/>
    <sheet name="HRP Calculations" sheetId="122" r:id="rId5"/>
    <sheet name="Indicator Summary  Eng" sheetId="119" r:id="rId6"/>
    <sheet name="Indicator Summary  MM" sheetId="120" state="hidden" r:id="rId7"/>
    <sheet name="HRP" sheetId="89" r:id="rId8"/>
    <sheet name="Sheet1" sheetId="113" state="hidden" r:id="rId9"/>
    <sheet name="Analysis" sheetId="92" r:id="rId10"/>
    <sheet name="Quarterly Dashboard" sheetId="100" r:id="rId11"/>
    <sheet name="Rakhine" sheetId="112" r:id="rId12"/>
    <sheet name="AAP-community Feedback" sheetId="123" r:id="rId13"/>
    <sheet name="By Camps" sheetId="102" r:id="rId14"/>
    <sheet name="Tracking Dashboard" sheetId="114" r:id="rId15"/>
    <sheet name="Lookup" sheetId="32" state="hidden" r:id="rId16"/>
  </sheets>
  <externalReferences>
    <externalReference r:id="rId17"/>
    <externalReference r:id="rId18"/>
    <externalReference r:id="rId19"/>
    <externalReference r:id="rId20"/>
  </externalReferences>
  <definedNames>
    <definedName name="_Fill" localSheetId="13" hidden="1">#REF!</definedName>
    <definedName name="_Fill" localSheetId="4" hidden="1">#REF!</definedName>
    <definedName name="_Fill" localSheetId="5" hidden="1">#REF!</definedName>
    <definedName name="_Fill" localSheetId="11" hidden="1">#REF!</definedName>
    <definedName name="_Fill" hidden="1">#REF!</definedName>
    <definedName name="_xlnm._FilterDatabase" localSheetId="2" hidden="1">DATABASE!#REF!</definedName>
    <definedName name="_xlnm._FilterDatabase" localSheetId="5" hidden="1">'Indicator Summary  Eng'!$A$2:$F$58</definedName>
    <definedName name="_xlnm._FilterDatabase" localSheetId="15" hidden="1">Lookup!$A$3:$AA$457</definedName>
    <definedName name="_Key1" localSheetId="13" hidden="1">[1]Data!#REF!</definedName>
    <definedName name="_Key1" localSheetId="4" hidden="1">[1]Data!#REF!</definedName>
    <definedName name="_Key1" localSheetId="5" hidden="1">[1]Data!#REF!</definedName>
    <definedName name="_Key1" localSheetId="11" hidden="1">[1]Data!#REF!</definedName>
    <definedName name="_Key1" hidden="1">[1]Data!#REF!</definedName>
    <definedName name="_Order1" hidden="1">255</definedName>
    <definedName name="a" localSheetId="4" hidden="1">#REF!</definedName>
    <definedName name="a" hidden="1">#REF!</definedName>
    <definedName name="b">[2]!SiteDB6[[#Headers],[Township]]</definedName>
    <definedName name="_xlnm.Print_Area" localSheetId="4">'HRP Calculations'!$A$1:$F$11</definedName>
    <definedName name="_xlnm.Print_Area" localSheetId="5">'Indicator Summary  Eng'!$A$1:$E$58</definedName>
    <definedName name="_xlnm.Print_Area" localSheetId="6">'Indicator Summary  MM'!$A$2:$F$70</definedName>
    <definedName name="_xlnm.Print_Area" localSheetId="11">Rakhine!$A$1:$T$114</definedName>
    <definedName name="_xlnm.Print_Titles" localSheetId="5">'Indicator Summary  Eng'!$1:$2</definedName>
    <definedName name="_xlnm.Print_Titles" localSheetId="6">'Indicator Summary  MM'!$1:$2</definedName>
    <definedName name="Sasha" localSheetId="4" hidden="1">{#N/A,#N/A,FALSE,"Truck Rent"}</definedName>
    <definedName name="Sasha" localSheetId="5" hidden="1">{#N/A,#N/A,FALSE,"Truck Rent"}</definedName>
    <definedName name="Sasha" hidden="1">{#N/A,#N/A,FALSE,"Truck Rent"}</definedName>
    <definedName name="Slicer_Covered">#N/A</definedName>
    <definedName name="Slicer_Reporting_Period">#N/A</definedName>
    <definedName name="Slicer_Township">#N/A</definedName>
    <definedName name="Slicer_Township1">#N/A</definedName>
    <definedName name="Slicer_Township2">#N/A</definedName>
    <definedName name="Slicer_Township3">#N/A</definedName>
    <definedName name="Slicer_Type_of_accommodation">#N/A</definedName>
    <definedName name="Slicer_WASH_implementing_agency">#N/A</definedName>
    <definedName name="Slicer_WASH_implementing_agency1">#N/A</definedName>
    <definedName name="Slicer_WASH_project_agency">#N/A</definedName>
    <definedName name="State_list">Lookup!$AB$4:$AB$83</definedName>
    <definedName name="Statestart_1">Lookup!$AB$3</definedName>
    <definedName name="Township_list">SiteDB6[Township]</definedName>
    <definedName name="Township_start">SiteDB6[[#Headers],[Township]]</definedName>
    <definedName name="TSps">Lookup!$AC$3:$AC$83</definedName>
    <definedName name="wrn.MUSA._.TRUCKS." localSheetId="4" hidden="1">{#N/A,#N/A,FALSE,"Truck Rent"}</definedName>
    <definedName name="wrn.MUSA._.TRUCKS." localSheetId="5" hidden="1">{#N/A,#N/A,FALSE,"Truck Rent"}</definedName>
    <definedName name="wrn.MUSA._.TRUCKS." hidden="1">{#N/A,#N/A,FALSE,"Truck Rent"}</definedName>
  </definedNames>
  <calcPr calcId="179017"/>
  <pivotCaches>
    <pivotCache cacheId="0" r:id="rId21"/>
  </pivotCaches>
  <extLst>
    <ext xmlns:x14="http://schemas.microsoft.com/office/spreadsheetml/2009/9/main" uri="{BBE1A952-AA13-448e-AADC-164F8A28A991}">
      <x14:slicerCaches>
        <x14:slicerCache r:id="rId22"/>
        <x14:slicerCache r:id="rId23"/>
        <x14:slicerCache r:id="rId24"/>
        <x14:slicerCache r:id="rId25"/>
        <x14:slicerCache r:id="rId26"/>
        <x14:slicerCache r:id="rId27"/>
        <x14:slicerCache r:id="rId28"/>
        <x14:slicerCache r:id="rId29"/>
        <x14:slicerCache r:id="rId30"/>
        <x14:slicerCache r:id="rId3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Q7" i="25" l="1"/>
  <c r="CQ8" i="25"/>
  <c r="CQ9" i="25"/>
  <c r="CQ10" i="25"/>
  <c r="CQ11" i="25"/>
  <c r="CQ12" i="25"/>
  <c r="CQ13" i="25"/>
  <c r="CQ14" i="25"/>
  <c r="CQ15" i="25"/>
  <c r="CQ16" i="25"/>
  <c r="CQ17" i="25"/>
  <c r="CQ18" i="25"/>
  <c r="CQ19" i="25"/>
  <c r="CQ20" i="25"/>
  <c r="CQ21" i="25"/>
  <c r="CQ22" i="25"/>
  <c r="CQ23" i="25"/>
  <c r="CQ24" i="25"/>
  <c r="CQ25" i="25"/>
  <c r="CQ26" i="25"/>
  <c r="CQ27" i="25"/>
  <c r="CQ28" i="25"/>
  <c r="CQ29" i="25"/>
  <c r="CQ30" i="25"/>
  <c r="CQ31" i="25"/>
  <c r="E383" i="92" l="1"/>
  <c r="E382" i="92"/>
  <c r="E381" i="92"/>
  <c r="F247" i="92"/>
  <c r="E244" i="92"/>
  <c r="H247" i="92"/>
  <c r="G247" i="92"/>
  <c r="I247" i="92"/>
  <c r="F244" i="92"/>
  <c r="E247" i="92" l="1"/>
  <c r="G244" i="92"/>
  <c r="D235" i="92"/>
  <c r="D234" i="92"/>
  <c r="D233" i="92"/>
  <c r="D348" i="92"/>
  <c r="D362" i="92"/>
  <c r="E348" i="92"/>
  <c r="E362" i="92" l="1"/>
  <c r="DC7" i="25"/>
  <c r="DC8" i="25"/>
  <c r="DC9" i="25"/>
  <c r="DC10" i="25"/>
  <c r="DC11" i="25"/>
  <c r="DC12" i="25"/>
  <c r="DC13" i="25"/>
  <c r="DC14" i="25"/>
  <c r="DC15" i="25"/>
  <c r="DC16" i="25"/>
  <c r="DC17" i="25"/>
  <c r="DC18" i="25"/>
  <c r="DC19" i="25"/>
  <c r="DC20" i="25"/>
  <c r="DC21" i="25"/>
  <c r="DC22" i="25"/>
  <c r="DC23" i="25"/>
  <c r="DC24" i="25"/>
  <c r="DC25" i="25"/>
  <c r="DC26" i="25"/>
  <c r="DC27" i="25"/>
  <c r="DC28" i="25"/>
  <c r="DC29" i="25"/>
  <c r="DC30" i="25"/>
  <c r="DC31" i="25"/>
  <c r="DB7" i="25"/>
  <c r="DB8" i="25"/>
  <c r="DB9" i="25"/>
  <c r="DB10" i="25"/>
  <c r="DB11" i="25"/>
  <c r="DB12" i="25"/>
  <c r="DB13" i="25"/>
  <c r="DB14" i="25"/>
  <c r="DB15" i="25"/>
  <c r="DB16" i="25"/>
  <c r="DB17" i="25"/>
  <c r="DB18" i="25"/>
  <c r="DB19" i="25"/>
  <c r="DB20" i="25"/>
  <c r="DB21" i="25"/>
  <c r="DB22" i="25"/>
  <c r="DB23" i="25"/>
  <c r="DB24" i="25"/>
  <c r="DB25" i="25"/>
  <c r="DB26" i="25"/>
  <c r="DB27" i="25"/>
  <c r="DB28" i="25"/>
  <c r="DB29" i="25"/>
  <c r="DB30" i="25"/>
  <c r="DB31" i="25"/>
  <c r="DA7" i="25"/>
  <c r="DA8" i="25"/>
  <c r="DA9" i="25"/>
  <c r="DA10" i="25"/>
  <c r="DA11" i="25"/>
  <c r="DA12" i="25"/>
  <c r="DA13" i="25"/>
  <c r="DA14" i="25"/>
  <c r="DA15" i="25"/>
  <c r="DA16" i="25"/>
  <c r="DA17" i="25"/>
  <c r="DA18" i="25"/>
  <c r="DA19" i="25"/>
  <c r="DA20" i="25"/>
  <c r="DA21" i="25"/>
  <c r="DA22" i="25"/>
  <c r="DA23" i="25"/>
  <c r="DA24" i="25"/>
  <c r="DA25" i="25"/>
  <c r="DA26" i="25"/>
  <c r="DA27" i="25"/>
  <c r="DA28" i="25"/>
  <c r="DA29" i="25"/>
  <c r="DA30" i="25"/>
  <c r="DA31" i="25"/>
  <c r="G112" i="92"/>
  <c r="B133" i="92"/>
  <c r="D149" i="92"/>
  <c r="I201" i="92"/>
  <c r="I202" i="92"/>
  <c r="K131" i="92"/>
  <c r="L131" i="92"/>
  <c r="G114" i="92"/>
  <c r="G115" i="92"/>
  <c r="D133" i="92"/>
  <c r="C149" i="92"/>
  <c r="G113" i="92"/>
  <c r="H114" i="92" l="1"/>
  <c r="H112" i="92"/>
  <c r="H113" i="92"/>
  <c r="H115" i="92"/>
  <c r="C133" i="92"/>
  <c r="E133" i="92" s="1"/>
  <c r="M131" i="92"/>
  <c r="P30" i="89"/>
  <c r="O30" i="89"/>
  <c r="N30" i="89"/>
  <c r="M30" i="89"/>
  <c r="L30" i="89"/>
  <c r="P27" i="89"/>
  <c r="O27" i="89"/>
  <c r="N27" i="89"/>
  <c r="M27" i="89"/>
  <c r="L27" i="89"/>
  <c r="P21" i="89"/>
  <c r="O21" i="89"/>
  <c r="N21" i="89"/>
  <c r="M21" i="89"/>
  <c r="L21" i="89"/>
  <c r="Q30" i="89"/>
  <c r="Q27" i="89"/>
  <c r="Q21" i="89"/>
  <c r="Q18" i="89"/>
  <c r="P18" i="89"/>
  <c r="O18" i="89"/>
  <c r="N18" i="89"/>
  <c r="M18" i="89"/>
  <c r="L18" i="89"/>
  <c r="J30" i="89"/>
  <c r="J27" i="89"/>
  <c r="J21" i="89"/>
  <c r="J18" i="89"/>
  <c r="CI7" i="25" l="1"/>
  <c r="CI8" i="25"/>
  <c r="CI9" i="25"/>
  <c r="CI10" i="25"/>
  <c r="CI11" i="25"/>
  <c r="CI12" i="25"/>
  <c r="CI13" i="25"/>
  <c r="CI14" i="25"/>
  <c r="CI15" i="25"/>
  <c r="CI16" i="25"/>
  <c r="CI17" i="25"/>
  <c r="CI18" i="25"/>
  <c r="CI19" i="25"/>
  <c r="CI20" i="25"/>
  <c r="CI21" i="25"/>
  <c r="CI22" i="25"/>
  <c r="CI23" i="25"/>
  <c r="CI24" i="25"/>
  <c r="CI25" i="25"/>
  <c r="CI26" i="25"/>
  <c r="CI27" i="25"/>
  <c r="CI28" i="25"/>
  <c r="CI29" i="25"/>
  <c r="CI30" i="25"/>
  <c r="CI31" i="25"/>
  <c r="I30" i="89" l="1"/>
  <c r="I27" i="89"/>
  <c r="I24" i="89"/>
  <c r="I21" i="89"/>
  <c r="H25" i="89"/>
  <c r="F25" i="89"/>
  <c r="H22" i="89"/>
  <c r="F22" i="89"/>
  <c r="E22" i="89"/>
  <c r="H19" i="89"/>
  <c r="J24" i="89" l="1"/>
  <c r="Q24" i="89"/>
  <c r="P24" i="89"/>
  <c r="O24" i="89"/>
  <c r="L24" i="89"/>
  <c r="M24" i="89"/>
  <c r="N24" i="89"/>
  <c r="I18" i="89"/>
  <c r="H28" i="89"/>
  <c r="F28" i="89"/>
  <c r="E28" i="89"/>
  <c r="H31" i="89"/>
  <c r="F31" i="89"/>
  <c r="E31" i="89"/>
  <c r="K30" i="89"/>
  <c r="K27" i="89"/>
  <c r="K24" i="89"/>
  <c r="K21" i="89"/>
  <c r="K18" i="89"/>
  <c r="F19" i="89"/>
  <c r="E19" i="89"/>
  <c r="R29" i="25" l="1"/>
  <c r="R12" i="25"/>
  <c r="R9" i="25"/>
  <c r="O29" i="25"/>
  <c r="O15" i="25"/>
  <c r="O12" i="25"/>
  <c r="O9" i="25"/>
  <c r="BR7" i="25" l="1"/>
  <c r="BR8" i="25"/>
  <c r="BR9" i="25"/>
  <c r="BR10" i="25"/>
  <c r="BR11" i="25"/>
  <c r="BR12" i="25"/>
  <c r="BR13" i="25"/>
  <c r="BR14" i="25"/>
  <c r="BR15" i="25"/>
  <c r="BR16" i="25"/>
  <c r="BR17" i="25"/>
  <c r="BR18" i="25"/>
  <c r="BR19" i="25"/>
  <c r="BR20" i="25"/>
  <c r="BR21" i="25"/>
  <c r="BR22" i="25"/>
  <c r="BR23" i="25"/>
  <c r="BR24" i="25"/>
  <c r="BR25" i="25"/>
  <c r="BR26" i="25"/>
  <c r="BR27" i="25"/>
  <c r="BR28" i="25"/>
  <c r="BR29" i="25"/>
  <c r="BR30" i="25"/>
  <c r="BR31" i="25"/>
  <c r="BP7" i="25"/>
  <c r="BP8" i="25"/>
  <c r="BP9" i="25"/>
  <c r="BP10" i="25"/>
  <c r="BP11" i="25"/>
  <c r="BP12" i="25"/>
  <c r="BP13" i="25"/>
  <c r="BP14" i="25"/>
  <c r="BP15" i="25"/>
  <c r="BP16" i="25"/>
  <c r="BP17" i="25"/>
  <c r="BP18" i="25"/>
  <c r="BP19" i="25"/>
  <c r="BP20" i="25"/>
  <c r="BP22" i="25"/>
  <c r="BP23" i="25"/>
  <c r="BP24" i="25"/>
  <c r="BP25" i="25"/>
  <c r="BP26" i="25"/>
  <c r="BP27" i="25"/>
  <c r="BP28" i="25"/>
  <c r="BP29" i="25"/>
  <c r="BP30" i="25"/>
  <c r="BP31" i="25"/>
  <c r="CP7" i="25" l="1"/>
  <c r="CP8" i="25"/>
  <c r="CP9" i="25"/>
  <c r="CP10" i="25"/>
  <c r="CP11" i="25"/>
  <c r="CP12" i="25"/>
  <c r="CP13" i="25"/>
  <c r="CP14" i="25"/>
  <c r="CP15" i="25"/>
  <c r="CP16" i="25"/>
  <c r="CP17" i="25"/>
  <c r="CP18" i="25"/>
  <c r="CP19" i="25"/>
  <c r="CP20" i="25"/>
  <c r="CP21" i="25"/>
  <c r="CP22" i="25"/>
  <c r="CP23" i="25"/>
  <c r="CP24" i="25"/>
  <c r="CP25" i="25"/>
  <c r="CP26" i="25"/>
  <c r="CP27" i="25"/>
  <c r="CP28" i="25"/>
  <c r="CP29" i="25"/>
  <c r="CP30" i="25"/>
  <c r="CP31" i="25"/>
  <c r="CJ7" i="25"/>
  <c r="CJ8" i="25"/>
  <c r="CJ9" i="25"/>
  <c r="CJ10" i="25"/>
  <c r="CJ11" i="25"/>
  <c r="CJ12" i="25"/>
  <c r="CJ13" i="25"/>
  <c r="CJ14" i="25"/>
  <c r="CJ15" i="25"/>
  <c r="CJ16" i="25"/>
  <c r="CJ17" i="25"/>
  <c r="CJ18" i="25"/>
  <c r="CJ19" i="25"/>
  <c r="CJ20" i="25"/>
  <c r="CJ21" i="25"/>
  <c r="CJ22" i="25"/>
  <c r="CJ23" i="25"/>
  <c r="CJ24" i="25"/>
  <c r="CJ25" i="25"/>
  <c r="CJ26" i="25"/>
  <c r="CJ27" i="25"/>
  <c r="CJ28" i="25"/>
  <c r="CJ29" i="25"/>
  <c r="CJ30" i="25"/>
  <c r="CJ31" i="25"/>
  <c r="CH7" i="25"/>
  <c r="CH8" i="25"/>
  <c r="CH9" i="25"/>
  <c r="CH10" i="25"/>
  <c r="CH11" i="25"/>
  <c r="CH12" i="25"/>
  <c r="CH13" i="25"/>
  <c r="CH14" i="25"/>
  <c r="CH15" i="25"/>
  <c r="CH16" i="25"/>
  <c r="CH17" i="25"/>
  <c r="CH18" i="25"/>
  <c r="CH19" i="25"/>
  <c r="CH20" i="25"/>
  <c r="CH21" i="25"/>
  <c r="CH22" i="25"/>
  <c r="CH23" i="25"/>
  <c r="CH24" i="25"/>
  <c r="CH25" i="25"/>
  <c r="CH26" i="25"/>
  <c r="CH27" i="25"/>
  <c r="CH28" i="25"/>
  <c r="CH29" i="25"/>
  <c r="CH30" i="25"/>
  <c r="CH31" i="25"/>
  <c r="CG7" i="25"/>
  <c r="CG8" i="25"/>
  <c r="CG9" i="25"/>
  <c r="CG10" i="25"/>
  <c r="CG11" i="25"/>
  <c r="CG12" i="25"/>
  <c r="CG13" i="25"/>
  <c r="CG14" i="25"/>
  <c r="CG15" i="25"/>
  <c r="CG16" i="25"/>
  <c r="CG17" i="25"/>
  <c r="CG18" i="25"/>
  <c r="CG19" i="25"/>
  <c r="CG20" i="25"/>
  <c r="CG21" i="25"/>
  <c r="CG22" i="25"/>
  <c r="CG23" i="25"/>
  <c r="CG24" i="25"/>
  <c r="CG25" i="25"/>
  <c r="CG26" i="25"/>
  <c r="CG27" i="25"/>
  <c r="CG28" i="25"/>
  <c r="CG29" i="25"/>
  <c r="CG30" i="25"/>
  <c r="CG31" i="25"/>
  <c r="CC7" i="25"/>
  <c r="CC8" i="25"/>
  <c r="CC9" i="25"/>
  <c r="CC10" i="25"/>
  <c r="CC11" i="25"/>
  <c r="CC12" i="25"/>
  <c r="CC13" i="25"/>
  <c r="CC14" i="25"/>
  <c r="CC15" i="25"/>
  <c r="CC16" i="25"/>
  <c r="CC17" i="25"/>
  <c r="CC18" i="25"/>
  <c r="CC19" i="25"/>
  <c r="CC20" i="25"/>
  <c r="CC21" i="25"/>
  <c r="CC22" i="25"/>
  <c r="CC23" i="25"/>
  <c r="CC24" i="25"/>
  <c r="CC25" i="25"/>
  <c r="CC26" i="25"/>
  <c r="CC27" i="25"/>
  <c r="CC28" i="25"/>
  <c r="CC29" i="25"/>
  <c r="CC30" i="25"/>
  <c r="CC31" i="25"/>
  <c r="CB7" i="25"/>
  <c r="CA7" i="25" s="1"/>
  <c r="CB8" i="25"/>
  <c r="CA8" i="25" s="1"/>
  <c r="CB9" i="25"/>
  <c r="CA9" i="25" s="1"/>
  <c r="CB10" i="25"/>
  <c r="CA10" i="25" s="1"/>
  <c r="CB11" i="25"/>
  <c r="CA11" i="25" s="1"/>
  <c r="CB12" i="25"/>
  <c r="CA12" i="25" s="1"/>
  <c r="CB13" i="25"/>
  <c r="CA13" i="25" s="1"/>
  <c r="CB14" i="25"/>
  <c r="CA14" i="25" s="1"/>
  <c r="CB15" i="25"/>
  <c r="CA15" i="25" s="1"/>
  <c r="CB16" i="25"/>
  <c r="CA16" i="25" s="1"/>
  <c r="CB17" i="25"/>
  <c r="CA17" i="25" s="1"/>
  <c r="CB18" i="25"/>
  <c r="CA18" i="25" s="1"/>
  <c r="CB19" i="25"/>
  <c r="CA19" i="25" s="1"/>
  <c r="CB20" i="25"/>
  <c r="CA20" i="25" s="1"/>
  <c r="CB21" i="25"/>
  <c r="CA21" i="25" s="1"/>
  <c r="CB22" i="25"/>
  <c r="CA22" i="25" s="1"/>
  <c r="CB23" i="25"/>
  <c r="CA23" i="25" s="1"/>
  <c r="CB24" i="25"/>
  <c r="CA24" i="25" s="1"/>
  <c r="CB25" i="25"/>
  <c r="CA25" i="25" s="1"/>
  <c r="CB26" i="25"/>
  <c r="CA26" i="25" s="1"/>
  <c r="CB27" i="25"/>
  <c r="CA27" i="25" s="1"/>
  <c r="CB28" i="25"/>
  <c r="CA28" i="25" s="1"/>
  <c r="CB29" i="25"/>
  <c r="CA29" i="25" s="1"/>
  <c r="CB30" i="25"/>
  <c r="CA30" i="25" s="1"/>
  <c r="CB31" i="25"/>
  <c r="CA31" i="25" s="1"/>
  <c r="G97" i="92"/>
  <c r="Z45" i="92"/>
  <c r="X45" i="92"/>
  <c r="G23" i="89"/>
  <c r="J45" i="92"/>
  <c r="G26" i="89"/>
  <c r="M45" i="92"/>
  <c r="G17" i="89"/>
  <c r="W45" i="92"/>
  <c r="G95" i="92"/>
  <c r="I45" i="92"/>
  <c r="G20" i="89"/>
  <c r="L45" i="92"/>
  <c r="G29" i="89"/>
  <c r="AA45" i="92"/>
  <c r="G25" i="89" l="1"/>
  <c r="I23" i="89"/>
  <c r="G19" i="89"/>
  <c r="I17" i="89"/>
  <c r="G31" i="89"/>
  <c r="I29" i="89"/>
  <c r="G28" i="89"/>
  <c r="I26" i="89"/>
  <c r="G22" i="89"/>
  <c r="I20" i="89"/>
  <c r="CK8" i="25"/>
  <c r="I28" i="89" l="1"/>
  <c r="P26" i="89"/>
  <c r="Q26" i="89"/>
  <c r="L26" i="89"/>
  <c r="O26" i="89"/>
  <c r="N26" i="89"/>
  <c r="M26" i="89"/>
  <c r="J26" i="89"/>
  <c r="I31" i="89"/>
  <c r="Q29" i="89"/>
  <c r="P29" i="89"/>
  <c r="J29" i="89"/>
  <c r="O29" i="89"/>
  <c r="M29" i="89"/>
  <c r="N29" i="89"/>
  <c r="L29" i="89"/>
  <c r="I19" i="89"/>
  <c r="P17" i="89"/>
  <c r="Q17" i="89"/>
  <c r="O17" i="89"/>
  <c r="N17" i="89"/>
  <c r="M17" i="89"/>
  <c r="M19" i="89" s="1"/>
  <c r="J17" i="89"/>
  <c r="L17" i="89"/>
  <c r="L19" i="89" s="1"/>
  <c r="I22" i="89"/>
  <c r="N20" i="89"/>
  <c r="M20" i="89"/>
  <c r="P20" i="89"/>
  <c r="L20" i="89"/>
  <c r="J20" i="89"/>
  <c r="Q20" i="89"/>
  <c r="O20" i="89"/>
  <c r="I25" i="89"/>
  <c r="O23" i="89"/>
  <c r="N23" i="89"/>
  <c r="M23" i="89"/>
  <c r="J23" i="89"/>
  <c r="L23" i="89"/>
  <c r="Q23" i="89"/>
  <c r="P23" i="89"/>
  <c r="BT9" i="25"/>
  <c r="BT13" i="25"/>
  <c r="BQ14" i="25"/>
  <c r="BT17" i="25"/>
  <c r="BT21" i="25"/>
  <c r="BQ22" i="25"/>
  <c r="BT25" i="25"/>
  <c r="BQ30" i="25"/>
  <c r="BN8" i="25"/>
  <c r="BN9" i="25"/>
  <c r="BN10" i="25"/>
  <c r="BN11" i="25"/>
  <c r="BN12" i="25"/>
  <c r="BN13" i="25"/>
  <c r="BN14" i="25"/>
  <c r="BN15" i="25"/>
  <c r="BN16" i="25"/>
  <c r="BN17" i="25"/>
  <c r="BN18" i="25"/>
  <c r="BN19" i="25"/>
  <c r="BN20" i="25"/>
  <c r="BN21" i="25"/>
  <c r="BN22" i="25"/>
  <c r="BN23" i="25"/>
  <c r="BN24" i="25"/>
  <c r="BN25" i="25"/>
  <c r="BN26" i="25"/>
  <c r="BN27" i="25"/>
  <c r="BN28" i="25"/>
  <c r="BN29" i="25"/>
  <c r="BN30" i="25"/>
  <c r="BN31" i="25"/>
  <c r="BN7" i="25"/>
  <c r="BM8" i="25"/>
  <c r="BM9" i="25"/>
  <c r="BM10" i="25"/>
  <c r="BM11" i="25"/>
  <c r="BM12" i="25"/>
  <c r="BM13" i="25"/>
  <c r="BM14" i="25"/>
  <c r="BM15" i="25"/>
  <c r="BM16" i="25"/>
  <c r="BM17" i="25"/>
  <c r="BM18" i="25"/>
  <c r="BM19" i="25"/>
  <c r="BM20" i="25"/>
  <c r="BM21" i="25"/>
  <c r="BM22" i="25"/>
  <c r="BM23" i="25"/>
  <c r="BM24" i="25"/>
  <c r="BM25" i="25"/>
  <c r="BM26" i="25"/>
  <c r="BM27" i="25"/>
  <c r="BM28" i="25"/>
  <c r="BM29" i="25"/>
  <c r="BM30" i="25"/>
  <c r="BM31" i="25"/>
  <c r="BM7" i="25"/>
  <c r="M25" i="89" l="1"/>
  <c r="N25" i="89"/>
  <c r="L25" i="89"/>
  <c r="Q25" i="89"/>
  <c r="J25" i="89"/>
  <c r="K25" i="89" s="1"/>
  <c r="P25" i="89"/>
  <c r="O25" i="89"/>
  <c r="L22" i="89"/>
  <c r="J22" i="89"/>
  <c r="K22" i="89" s="1"/>
  <c r="P22" i="89"/>
  <c r="Q22" i="89"/>
  <c r="M22" i="89"/>
  <c r="N22" i="89"/>
  <c r="O22" i="89"/>
  <c r="P19" i="89"/>
  <c r="N19" i="89"/>
  <c r="O19" i="89"/>
  <c r="J19" i="89"/>
  <c r="K19" i="89" s="1"/>
  <c r="Q19" i="89"/>
  <c r="O31" i="89"/>
  <c r="N31" i="89"/>
  <c r="P31" i="89"/>
  <c r="M31" i="89"/>
  <c r="L31" i="89"/>
  <c r="Q31" i="89"/>
  <c r="J31" i="89"/>
  <c r="K31" i="89" s="1"/>
  <c r="N28" i="89"/>
  <c r="Q28" i="89"/>
  <c r="M28" i="89"/>
  <c r="L28" i="89"/>
  <c r="J28" i="89"/>
  <c r="K28" i="89" s="1"/>
  <c r="O28" i="89"/>
  <c r="P28" i="89"/>
  <c r="BT28" i="25"/>
  <c r="BT20" i="25"/>
  <c r="BT12" i="25"/>
  <c r="BT26" i="25"/>
  <c r="BT18" i="25"/>
  <c r="BT10" i="25"/>
  <c r="BT24" i="25"/>
  <c r="BT16" i="25"/>
  <c r="BT8" i="25"/>
  <c r="BT27" i="25"/>
  <c r="BT19" i="25"/>
  <c r="BT11" i="25"/>
  <c r="BT30" i="25"/>
  <c r="BT29" i="25"/>
  <c r="BT31" i="25"/>
  <c r="BT23" i="25"/>
  <c r="BT15" i="25"/>
  <c r="BT7" i="25"/>
  <c r="BQ17" i="25"/>
  <c r="BQ16" i="25"/>
  <c r="BT22" i="25"/>
  <c r="BQ29" i="25"/>
  <c r="BQ13" i="25"/>
  <c r="BT14" i="25"/>
  <c r="BQ28" i="25"/>
  <c r="BQ12" i="25"/>
  <c r="BQ25" i="25"/>
  <c r="BQ11" i="25"/>
  <c r="BQ24" i="25"/>
  <c r="BQ9" i="25"/>
  <c r="BQ8" i="25"/>
  <c r="BQ20" i="25"/>
  <c r="BQ27" i="25"/>
  <c r="BQ19" i="25"/>
  <c r="BQ26" i="25"/>
  <c r="BQ18" i="25"/>
  <c r="BQ10" i="25"/>
  <c r="BQ31" i="25"/>
  <c r="BQ23" i="25"/>
  <c r="BQ15" i="25"/>
  <c r="BQ7" i="25"/>
  <c r="G7" i="25" l="1"/>
  <c r="BS7" i="25"/>
  <c r="BU7" i="25" s="1"/>
  <c r="BY7" i="25"/>
  <c r="CR7" i="25"/>
  <c r="CS7" i="25"/>
  <c r="CT7" i="25"/>
  <c r="CD7" i="25" s="1"/>
  <c r="CE7" i="25" s="1"/>
  <c r="CU7" i="25"/>
  <c r="CV7" i="25"/>
  <c r="CW7" i="25"/>
  <c r="CX7" i="25"/>
  <c r="CY7" i="25"/>
  <c r="CZ7" i="25"/>
  <c r="CK7" i="25" l="1"/>
  <c r="BO7" i="25"/>
  <c r="BV7" i="25"/>
  <c r="BZ7" i="25" s="1"/>
  <c r="CF7" i="25"/>
  <c r="CO7" i="25"/>
  <c r="CL7" i="25" l="1"/>
  <c r="CM7" i="25" s="1"/>
  <c r="CN7" i="25" s="1"/>
  <c r="BW7" i="25"/>
  <c r="BX7" i="25" s="1"/>
  <c r="Y45" i="92"/>
  <c r="K45" i="92"/>
  <c r="H36" i="113" l="1"/>
  <c r="H35" i="113"/>
  <c r="H33" i="113"/>
  <c r="H32" i="113"/>
  <c r="H29" i="113"/>
  <c r="H23" i="113"/>
  <c r="H21" i="113"/>
  <c r="L20" i="113"/>
  <c r="H19" i="113"/>
  <c r="L18" i="113"/>
  <c r="L15" i="113"/>
  <c r="H15" i="113"/>
  <c r="L13" i="113"/>
  <c r="H12" i="113"/>
  <c r="H9" i="113"/>
  <c r="L8" i="113"/>
  <c r="L6" i="113"/>
  <c r="H6" i="113"/>
  <c r="P66" i="89"/>
  <c r="N66" i="89"/>
  <c r="L66" i="89"/>
  <c r="H66" i="89"/>
  <c r="F66" i="89"/>
  <c r="D66" i="89"/>
  <c r="P65" i="89"/>
  <c r="N65" i="89"/>
  <c r="L65" i="89"/>
  <c r="H65" i="89"/>
  <c r="F65" i="89"/>
  <c r="D65" i="89"/>
  <c r="P64" i="89"/>
  <c r="N64" i="89"/>
  <c r="L64" i="89"/>
  <c r="H64" i="89"/>
  <c r="F64" i="89"/>
  <c r="D64" i="89"/>
  <c r="CZ27" i="25"/>
  <c r="CY27" i="25"/>
  <c r="CX27" i="25"/>
  <c r="CW27" i="25"/>
  <c r="CV27" i="25"/>
  <c r="CU27" i="25"/>
  <c r="CT27" i="25"/>
  <c r="CD27" i="25" s="1"/>
  <c r="CE27" i="25" s="1"/>
  <c r="CS27" i="25"/>
  <c r="CR27" i="25"/>
  <c r="CO27" i="25"/>
  <c r="BY27" i="25"/>
  <c r="G27" i="25"/>
  <c r="CZ20" i="25"/>
  <c r="CY20" i="25"/>
  <c r="CX20" i="25"/>
  <c r="CW20" i="25"/>
  <c r="CV20" i="25"/>
  <c r="CU20" i="25"/>
  <c r="CT20" i="25"/>
  <c r="CD20" i="25" s="1"/>
  <c r="CE20" i="25" s="1"/>
  <c r="CS20" i="25"/>
  <c r="CR20" i="25"/>
  <c r="CO20" i="25"/>
  <c r="BY20" i="25"/>
  <c r="BS20" i="25"/>
  <c r="G20" i="25"/>
  <c r="CZ19" i="25"/>
  <c r="CY19" i="25"/>
  <c r="CX19" i="25"/>
  <c r="CW19" i="25"/>
  <c r="CV19" i="25"/>
  <c r="CU19" i="25"/>
  <c r="CT19" i="25"/>
  <c r="CD19" i="25" s="1"/>
  <c r="CE19" i="25" s="1"/>
  <c r="CS19" i="25"/>
  <c r="CR19" i="25"/>
  <c r="CO19" i="25"/>
  <c r="BY19" i="25"/>
  <c r="BS19" i="25"/>
  <c r="G19" i="25"/>
  <c r="CZ17" i="25"/>
  <c r="CY17" i="25"/>
  <c r="CX17" i="25"/>
  <c r="CW17" i="25"/>
  <c r="CV17" i="25"/>
  <c r="CU17" i="25"/>
  <c r="CT17" i="25"/>
  <c r="CD17" i="25" s="1"/>
  <c r="CE17" i="25" s="1"/>
  <c r="CS17" i="25"/>
  <c r="CR17" i="25"/>
  <c r="CO17" i="25"/>
  <c r="BY17" i="25"/>
  <c r="G17" i="25"/>
  <c r="CZ28" i="25"/>
  <c r="CY28" i="25"/>
  <c r="CX28" i="25"/>
  <c r="CW28" i="25"/>
  <c r="CV28" i="25"/>
  <c r="CU28" i="25"/>
  <c r="CT28" i="25"/>
  <c r="CD28" i="25" s="1"/>
  <c r="CE28" i="25" s="1"/>
  <c r="CS28" i="25"/>
  <c r="CR28" i="25"/>
  <c r="CO28" i="25"/>
  <c r="BY28" i="25"/>
  <c r="BS28" i="25"/>
  <c r="G28" i="25"/>
  <c r="CZ31" i="25"/>
  <c r="CY31" i="25"/>
  <c r="CX31" i="25"/>
  <c r="CW31" i="25"/>
  <c r="CV31" i="25"/>
  <c r="CU31" i="25"/>
  <c r="CT31" i="25"/>
  <c r="CD31" i="25" s="1"/>
  <c r="CE31" i="25" s="1"/>
  <c r="CS31" i="25"/>
  <c r="CR31" i="25"/>
  <c r="CO31" i="25"/>
  <c r="BY31" i="25"/>
  <c r="BS31" i="25"/>
  <c r="G31" i="25"/>
  <c r="CZ30" i="25"/>
  <c r="CY30" i="25"/>
  <c r="CX30" i="25"/>
  <c r="CW30" i="25"/>
  <c r="CV30" i="25"/>
  <c r="CU30" i="25"/>
  <c r="CT30" i="25"/>
  <c r="CD30" i="25" s="1"/>
  <c r="CE30" i="25" s="1"/>
  <c r="CS30" i="25"/>
  <c r="CR30" i="25"/>
  <c r="CO30" i="25"/>
  <c r="BY30" i="25"/>
  <c r="BS30" i="25"/>
  <c r="G30" i="25"/>
  <c r="CZ29" i="25"/>
  <c r="CY29" i="25"/>
  <c r="CX29" i="25"/>
  <c r="CW29" i="25"/>
  <c r="CV29" i="25"/>
  <c r="CU29" i="25"/>
  <c r="CT29" i="25"/>
  <c r="CD29" i="25" s="1"/>
  <c r="CE29" i="25" s="1"/>
  <c r="CS29" i="25"/>
  <c r="CR29" i="25"/>
  <c r="CO29" i="25"/>
  <c r="BY29" i="25"/>
  <c r="BS29" i="25"/>
  <c r="G29" i="25"/>
  <c r="CZ26" i="25"/>
  <c r="CY26" i="25"/>
  <c r="CX26" i="25"/>
  <c r="CW26" i="25"/>
  <c r="CV26" i="25"/>
  <c r="CU26" i="25"/>
  <c r="CT26" i="25"/>
  <c r="CD26" i="25" s="1"/>
  <c r="CE26" i="25" s="1"/>
  <c r="CS26" i="25"/>
  <c r="CR26" i="25"/>
  <c r="BY26" i="25"/>
  <c r="BS26" i="25"/>
  <c r="G26" i="25"/>
  <c r="CZ25" i="25"/>
  <c r="CY25" i="25"/>
  <c r="CX25" i="25"/>
  <c r="CW25" i="25"/>
  <c r="CV25" i="25"/>
  <c r="CU25" i="25"/>
  <c r="CT25" i="25"/>
  <c r="CD25" i="25" s="1"/>
  <c r="CE25" i="25" s="1"/>
  <c r="CS25" i="25"/>
  <c r="CR25" i="25"/>
  <c r="CO25" i="25"/>
  <c r="BY25" i="25"/>
  <c r="BS25" i="25"/>
  <c r="G25" i="25"/>
  <c r="CZ24" i="25"/>
  <c r="CY24" i="25"/>
  <c r="CX24" i="25"/>
  <c r="CW24" i="25"/>
  <c r="CV24" i="25"/>
  <c r="CU24" i="25"/>
  <c r="CT24" i="25"/>
  <c r="CD24" i="25" s="1"/>
  <c r="CE24" i="25" s="1"/>
  <c r="CS24" i="25"/>
  <c r="CR24" i="25"/>
  <c r="CO24" i="25"/>
  <c r="BY24" i="25"/>
  <c r="BS24" i="25"/>
  <c r="G24" i="25"/>
  <c r="CZ23" i="25"/>
  <c r="CY23" i="25"/>
  <c r="CX23" i="25"/>
  <c r="CW23" i="25"/>
  <c r="CV23" i="25"/>
  <c r="CU23" i="25"/>
  <c r="CT23" i="25"/>
  <c r="CD23" i="25" s="1"/>
  <c r="CE23" i="25" s="1"/>
  <c r="CS23" i="25"/>
  <c r="CR23" i="25"/>
  <c r="CO23" i="25"/>
  <c r="BY23" i="25"/>
  <c r="BS23" i="25"/>
  <c r="G23" i="25"/>
  <c r="CZ22" i="25"/>
  <c r="CY22" i="25"/>
  <c r="CX22" i="25"/>
  <c r="CW22" i="25"/>
  <c r="CV22" i="25"/>
  <c r="CU22" i="25"/>
  <c r="CT22" i="25"/>
  <c r="CD22" i="25" s="1"/>
  <c r="CE22" i="25" s="1"/>
  <c r="CS22" i="25"/>
  <c r="CR22" i="25"/>
  <c r="CO22" i="25"/>
  <c r="BY22" i="25"/>
  <c r="BS22" i="25"/>
  <c r="G22" i="25"/>
  <c r="CZ18" i="25"/>
  <c r="CY18" i="25"/>
  <c r="CX18" i="25"/>
  <c r="CW18" i="25"/>
  <c r="CV18" i="25"/>
  <c r="CU18" i="25"/>
  <c r="CT18" i="25"/>
  <c r="CD18" i="25" s="1"/>
  <c r="CE18" i="25" s="1"/>
  <c r="CS18" i="25"/>
  <c r="CR18" i="25"/>
  <c r="CO18" i="25"/>
  <c r="BY18" i="25"/>
  <c r="G18" i="25"/>
  <c r="CZ15" i="25"/>
  <c r="CY15" i="25"/>
  <c r="CX15" i="25"/>
  <c r="CW15" i="25"/>
  <c r="CV15" i="25"/>
  <c r="CU15" i="25"/>
  <c r="CT15" i="25"/>
  <c r="CD15" i="25" s="1"/>
  <c r="CE15" i="25" s="1"/>
  <c r="CS15" i="25"/>
  <c r="CR15" i="25"/>
  <c r="CO15" i="25"/>
  <c r="BY15" i="25"/>
  <c r="BS15" i="25"/>
  <c r="G15" i="25"/>
  <c r="CZ14" i="25"/>
  <c r="CY14" i="25"/>
  <c r="CX14" i="25"/>
  <c r="CW14" i="25"/>
  <c r="CV14" i="25"/>
  <c r="CU14" i="25"/>
  <c r="CT14" i="25"/>
  <c r="CD14" i="25" s="1"/>
  <c r="CE14" i="25" s="1"/>
  <c r="CS14" i="25"/>
  <c r="CR14" i="25"/>
  <c r="CO14" i="25"/>
  <c r="BY14" i="25"/>
  <c r="BS14" i="25"/>
  <c r="G14" i="25"/>
  <c r="CZ11" i="25"/>
  <c r="CY11" i="25"/>
  <c r="CX11" i="25"/>
  <c r="CW11" i="25"/>
  <c r="CV11" i="25"/>
  <c r="CU11" i="25"/>
  <c r="CT11" i="25"/>
  <c r="CD11" i="25" s="1"/>
  <c r="CE11" i="25" s="1"/>
  <c r="CS11" i="25"/>
  <c r="CR11" i="25"/>
  <c r="CO11" i="25"/>
  <c r="BY11" i="25"/>
  <c r="BS11" i="25"/>
  <c r="G11" i="25"/>
  <c r="CZ13" i="25"/>
  <c r="CY13" i="25"/>
  <c r="CX13" i="25"/>
  <c r="CW13" i="25"/>
  <c r="CV13" i="25"/>
  <c r="CU13" i="25"/>
  <c r="CT13" i="25"/>
  <c r="CD13" i="25" s="1"/>
  <c r="CE13" i="25" s="1"/>
  <c r="CS13" i="25"/>
  <c r="CR13" i="25"/>
  <c r="CO13" i="25"/>
  <c r="BY13" i="25"/>
  <c r="BS13" i="25"/>
  <c r="G13" i="25"/>
  <c r="CZ12" i="25"/>
  <c r="CY12" i="25"/>
  <c r="CX12" i="25"/>
  <c r="CW12" i="25"/>
  <c r="CV12" i="25"/>
  <c r="CU12" i="25"/>
  <c r="CT12" i="25"/>
  <c r="CD12" i="25" s="1"/>
  <c r="CE12" i="25" s="1"/>
  <c r="CS12" i="25"/>
  <c r="CR12" i="25"/>
  <c r="CO12" i="25"/>
  <c r="BY12" i="25"/>
  <c r="BS12" i="25"/>
  <c r="G12" i="25"/>
  <c r="CZ10" i="25"/>
  <c r="CY10" i="25"/>
  <c r="CX10" i="25"/>
  <c r="CW10" i="25"/>
  <c r="CV10" i="25"/>
  <c r="CU10" i="25"/>
  <c r="CT10" i="25"/>
  <c r="CD10" i="25" s="1"/>
  <c r="CE10" i="25" s="1"/>
  <c r="CS10" i="25"/>
  <c r="CR10" i="25"/>
  <c r="CO10" i="25"/>
  <c r="BY10" i="25"/>
  <c r="BS10" i="25"/>
  <c r="G10" i="25"/>
  <c r="CZ9" i="25"/>
  <c r="CY9" i="25"/>
  <c r="CX9" i="25"/>
  <c r="CW9" i="25"/>
  <c r="CV9" i="25"/>
  <c r="CU9" i="25"/>
  <c r="CT9" i="25"/>
  <c r="CD9" i="25" s="1"/>
  <c r="CE9" i="25" s="1"/>
  <c r="CS9" i="25"/>
  <c r="CR9" i="25"/>
  <c r="BY9" i="25"/>
  <c r="BS9" i="25"/>
  <c r="G9" i="25"/>
  <c r="CZ8" i="25"/>
  <c r="CY8" i="25"/>
  <c r="CX8" i="25"/>
  <c r="CW8" i="25"/>
  <c r="CV8" i="25"/>
  <c r="CU8" i="25"/>
  <c r="CT8" i="25"/>
  <c r="CD8" i="25" s="1"/>
  <c r="CE8" i="25" s="1"/>
  <c r="CS8" i="25"/>
  <c r="CR8" i="25"/>
  <c r="BY8" i="25"/>
  <c r="G8" i="25"/>
  <c r="CZ16" i="25"/>
  <c r="CY16" i="25"/>
  <c r="CX16" i="25"/>
  <c r="CW16" i="25"/>
  <c r="CV16" i="25"/>
  <c r="CU16" i="25"/>
  <c r="CT16" i="25"/>
  <c r="CD16" i="25" s="1"/>
  <c r="CE16" i="25" s="1"/>
  <c r="CS16" i="25"/>
  <c r="CR16" i="25"/>
  <c r="CO16" i="25"/>
  <c r="BY16" i="25"/>
  <c r="BS16" i="25"/>
  <c r="G16" i="25"/>
  <c r="CZ21" i="25"/>
  <c r="CY21" i="25"/>
  <c r="CX21" i="25"/>
  <c r="CW21" i="25"/>
  <c r="CV21" i="25"/>
  <c r="CU21" i="25"/>
  <c r="CT21" i="25"/>
  <c r="CD21" i="25" s="1"/>
  <c r="CE21" i="25" s="1"/>
  <c r="CS21" i="25"/>
  <c r="CR21" i="25"/>
  <c r="CO21" i="25"/>
  <c r="BY21" i="25"/>
  <c r="G21" i="25"/>
  <c r="H81" i="89"/>
  <c r="I200" i="92"/>
  <c r="C62" i="92"/>
  <c r="J197" i="92"/>
  <c r="G98" i="92"/>
  <c r="D62" i="92"/>
  <c r="H80" i="89"/>
  <c r="H79" i="89"/>
  <c r="I79" i="89" l="1"/>
  <c r="G96" i="92"/>
  <c r="CF22" i="25"/>
  <c r="D49" i="89"/>
  <c r="K20" i="89"/>
  <c r="K29" i="89"/>
  <c r="I81" i="89"/>
  <c r="I80" i="89"/>
  <c r="J96" i="92"/>
  <c r="J201" i="92"/>
  <c r="J202" i="92"/>
  <c r="J200" i="92"/>
  <c r="K17" i="89"/>
  <c r="D40" i="89"/>
  <c r="K23" i="89"/>
  <c r="D57" i="89"/>
  <c r="K26" i="89"/>
  <c r="H82" i="89"/>
  <c r="J95" i="92"/>
  <c r="X82" i="89"/>
  <c r="J94" i="92"/>
  <c r="CK15" i="25"/>
  <c r="CL15" i="25" s="1"/>
  <c r="CM15" i="25" s="1"/>
  <c r="CN15" i="25" s="1"/>
  <c r="CF15" i="25"/>
  <c r="CK25" i="25"/>
  <c r="CL25" i="25" s="1"/>
  <c r="CM25" i="25" s="1"/>
  <c r="CN25" i="25" s="1"/>
  <c r="BO22" i="25"/>
  <c r="BO14" i="25"/>
  <c r="CK13" i="25"/>
  <c r="CL13" i="25" s="1"/>
  <c r="CM13" i="25" s="1"/>
  <c r="CN13" i="25" s="1"/>
  <c r="BO10" i="25"/>
  <c r="CK17" i="25"/>
  <c r="CL17" i="25" s="1"/>
  <c r="CM17" i="25" s="1"/>
  <c r="CN17" i="25" s="1"/>
  <c r="CF19" i="25"/>
  <c r="CK9" i="25"/>
  <c r="CL9" i="25" s="1"/>
  <c r="CM9" i="25" s="1"/>
  <c r="CN9" i="25" s="1"/>
  <c r="CK22" i="25"/>
  <c r="CL22" i="25" s="1"/>
  <c r="CM22" i="25" s="1"/>
  <c r="CN22" i="25" s="1"/>
  <c r="CK24" i="25"/>
  <c r="CL24" i="25" s="1"/>
  <c r="CM24" i="25" s="1"/>
  <c r="CN24" i="25" s="1"/>
  <c r="CK31" i="25"/>
  <c r="CL31" i="25" s="1"/>
  <c r="CM31" i="25" s="1"/>
  <c r="CN31" i="25" s="1"/>
  <c r="CK29" i="25"/>
  <c r="CL29" i="25" s="1"/>
  <c r="CM29" i="25" s="1"/>
  <c r="CN29" i="25" s="1"/>
  <c r="CK30" i="25"/>
  <c r="CL30" i="25" s="1"/>
  <c r="CM30" i="25" s="1"/>
  <c r="CN30" i="25" s="1"/>
  <c r="BO19" i="25"/>
  <c r="CK27" i="25"/>
  <c r="CL27" i="25" s="1"/>
  <c r="CM27" i="25" s="1"/>
  <c r="CN27" i="25" s="1"/>
  <c r="BO30" i="25"/>
  <c r="BO21" i="25"/>
  <c r="BO13" i="25"/>
  <c r="BO25" i="25"/>
  <c r="BO20" i="25"/>
  <c r="BO16" i="25"/>
  <c r="CF28" i="25"/>
  <c r="CK21" i="25"/>
  <c r="CL21" i="25" s="1"/>
  <c r="CM21" i="25" s="1"/>
  <c r="CN21" i="25" s="1"/>
  <c r="BW16" i="25"/>
  <c r="BX16" i="25" s="1"/>
  <c r="CK16" i="25"/>
  <c r="CL16" i="25" s="1"/>
  <c r="CM16" i="25" s="1"/>
  <c r="CN16" i="25" s="1"/>
  <c r="BO8" i="25"/>
  <c r="BU20" i="25"/>
  <c r="BV20" i="25" s="1"/>
  <c r="BZ20" i="25" s="1"/>
  <c r="BO12" i="25"/>
  <c r="CF12" i="25"/>
  <c r="BO11" i="25"/>
  <c r="CK19" i="25"/>
  <c r="CL19" i="25" s="1"/>
  <c r="CM19" i="25" s="1"/>
  <c r="CN19" i="25" s="1"/>
  <c r="BO23" i="25"/>
  <c r="CF26" i="25"/>
  <c r="CK20" i="25"/>
  <c r="CL20" i="25" s="1"/>
  <c r="CM20" i="25" s="1"/>
  <c r="CN20" i="25" s="1"/>
  <c r="CF21" i="25"/>
  <c r="CF16" i="25"/>
  <c r="CF8" i="25"/>
  <c r="CF9" i="25"/>
  <c r="CL8" i="25"/>
  <c r="CM8" i="25" s="1"/>
  <c r="CN8" i="25" s="1"/>
  <c r="BO9" i="25"/>
  <c r="CK14" i="25"/>
  <c r="CL14" i="25" s="1"/>
  <c r="CM14" i="25" s="1"/>
  <c r="CN14" i="25" s="1"/>
  <c r="BU12" i="25"/>
  <c r="BV12" i="25" s="1"/>
  <c r="BZ12" i="25" s="1"/>
  <c r="CK12" i="25"/>
  <c r="CL12" i="25" s="1"/>
  <c r="CM12" i="25" s="1"/>
  <c r="CN12" i="25" s="1"/>
  <c r="CK10" i="25"/>
  <c r="CL10" i="25" s="1"/>
  <c r="CM10" i="25" s="1"/>
  <c r="CN10" i="25" s="1"/>
  <c r="CF23" i="25"/>
  <c r="CF13" i="25"/>
  <c r="BO15" i="25"/>
  <c r="BO28" i="25"/>
  <c r="CK28" i="25"/>
  <c r="CL28" i="25" s="1"/>
  <c r="CM28" i="25" s="1"/>
  <c r="CN28" i="25" s="1"/>
  <c r="BO17" i="25"/>
  <c r="BU15" i="25"/>
  <c r="BV15" i="25" s="1"/>
  <c r="BZ15" i="25" s="1"/>
  <c r="BO31" i="25"/>
  <c r="CF11" i="25"/>
  <c r="CK11" i="25"/>
  <c r="CL11" i="25" s="1"/>
  <c r="CM11" i="25" s="1"/>
  <c r="CN11" i="25" s="1"/>
  <c r="BU23" i="25"/>
  <c r="BV23" i="25" s="1"/>
  <c r="BZ23" i="25" s="1"/>
  <c r="CK23" i="25"/>
  <c r="CL23" i="25" s="1"/>
  <c r="CM23" i="25" s="1"/>
  <c r="CN23" i="25" s="1"/>
  <c r="BO27" i="25"/>
  <c r="CK18" i="25"/>
  <c r="CL18" i="25" s="1"/>
  <c r="CM18" i="25" s="1"/>
  <c r="CN18" i="25" s="1"/>
  <c r="BO24" i="25"/>
  <c r="CK26" i="25"/>
  <c r="CL26" i="25" s="1"/>
  <c r="CM26" i="25" s="1"/>
  <c r="CN26" i="25" s="1"/>
  <c r="BO29" i="25"/>
  <c r="BU30" i="25"/>
  <c r="BV30" i="25" s="1"/>
  <c r="BZ30" i="25" s="1"/>
  <c r="BU24" i="25"/>
  <c r="BV24" i="25" s="1"/>
  <c r="BZ24" i="25" s="1"/>
  <c r="CF24" i="25"/>
  <c r="BO26" i="25"/>
  <c r="BW29" i="25"/>
  <c r="BX29" i="25" s="1"/>
  <c r="CO26" i="25"/>
  <c r="CO9" i="25"/>
  <c r="BS21" i="25"/>
  <c r="BS8" i="25"/>
  <c r="CO8" i="25"/>
  <c r="BO18" i="25"/>
  <c r="CF10" i="25"/>
  <c r="CF14" i="25"/>
  <c r="CF25" i="25"/>
  <c r="BS18" i="25"/>
  <c r="CF18" i="25"/>
  <c r="BU10" i="25"/>
  <c r="BV10" i="25" s="1"/>
  <c r="BZ10" i="25" s="1"/>
  <c r="BU14" i="25"/>
  <c r="BV14" i="25" s="1"/>
  <c r="BZ14" i="25" s="1"/>
  <c r="CF29" i="25"/>
  <c r="CF30" i="25"/>
  <c r="BU31" i="25"/>
  <c r="BV31" i="25" s="1"/>
  <c r="BZ31" i="25" s="1"/>
  <c r="CF20" i="25"/>
  <c r="BS17" i="25"/>
  <c r="BS27" i="25"/>
  <c r="CF31" i="25"/>
  <c r="CF17" i="25"/>
  <c r="CF27" i="25"/>
  <c r="BU16" i="25" l="1"/>
  <c r="BV16" i="25" s="1"/>
  <c r="BZ16" i="25" s="1"/>
  <c r="BU29" i="25"/>
  <c r="BV29" i="25" s="1"/>
  <c r="BZ29" i="25" s="1"/>
  <c r="BW20" i="25"/>
  <c r="BX20" i="25" s="1"/>
  <c r="BW24" i="25"/>
  <c r="BX24" i="25" s="1"/>
  <c r="BW23" i="25"/>
  <c r="BX23" i="25" s="1"/>
  <c r="E64" i="89"/>
  <c r="M64" i="89"/>
  <c r="O64" i="89"/>
  <c r="G64" i="89"/>
  <c r="K64" i="89"/>
  <c r="C64" i="89"/>
  <c r="O65" i="89"/>
  <c r="E57" i="89"/>
  <c r="G65" i="89" s="1"/>
  <c r="E40" i="89"/>
  <c r="C65" i="89" s="1"/>
  <c r="K65" i="89"/>
  <c r="E66" i="89"/>
  <c r="M66" i="89"/>
  <c r="G66" i="89"/>
  <c r="O66" i="89"/>
  <c r="C66" i="89"/>
  <c r="K66" i="89"/>
  <c r="M65" i="89"/>
  <c r="E49" i="89"/>
  <c r="E65" i="89" s="1"/>
  <c r="BW30" i="25"/>
  <c r="BX30" i="25" s="1"/>
  <c r="BU8" i="25"/>
  <c r="BV8" i="25" s="1"/>
  <c r="BZ8" i="25" s="1"/>
  <c r="BU21" i="25"/>
  <c r="BV21" i="25" s="1"/>
  <c r="BZ21" i="25" s="1"/>
  <c r="BW21" i="25"/>
  <c r="BX21" i="25" s="1"/>
  <c r="BU18" i="25"/>
  <c r="BV18" i="25" s="1"/>
  <c r="BZ18" i="25" s="1"/>
  <c r="BU27" i="25"/>
  <c r="BV27" i="25" s="1"/>
  <c r="BZ27" i="25" s="1"/>
  <c r="BW22" i="25"/>
  <c r="BX22" i="25" s="1"/>
  <c r="BU22" i="25"/>
  <c r="BV22" i="25" s="1"/>
  <c r="BZ22" i="25" s="1"/>
  <c r="BW11" i="25"/>
  <c r="BX11" i="25" s="1"/>
  <c r="BU11" i="25"/>
  <c r="BV11" i="25" s="1"/>
  <c r="BZ11" i="25" s="1"/>
  <c r="BW27" i="25"/>
  <c r="BX27" i="25" s="1"/>
  <c r="BW14" i="25"/>
  <c r="BX14" i="25" s="1"/>
  <c r="BW18" i="25"/>
  <c r="BX18" i="25" s="1"/>
  <c r="BU19" i="25"/>
  <c r="BV19" i="25" s="1"/>
  <c r="BZ19" i="25" s="1"/>
  <c r="BW19" i="25"/>
  <c r="BX19" i="25" s="1"/>
  <c r="BW31" i="25"/>
  <c r="BX31" i="25" s="1"/>
  <c r="BW15" i="25"/>
  <c r="BX15" i="25" s="1"/>
  <c r="BW10" i="25"/>
  <c r="BX10" i="25" s="1"/>
  <c r="BU26" i="25"/>
  <c r="BV26" i="25" s="1"/>
  <c r="BZ26" i="25" s="1"/>
  <c r="BW26" i="25"/>
  <c r="BX26" i="25" s="1"/>
  <c r="BU9" i="25"/>
  <c r="BV9" i="25" s="1"/>
  <c r="BZ9" i="25" s="1"/>
  <c r="BW9" i="25"/>
  <c r="BX9" i="25" s="1"/>
  <c r="BW25" i="25"/>
  <c r="BX25" i="25" s="1"/>
  <c r="BU25" i="25"/>
  <c r="BV25" i="25" s="1"/>
  <c r="BZ25" i="25" s="1"/>
  <c r="BU28" i="25"/>
  <c r="BV28" i="25" s="1"/>
  <c r="BZ28" i="25" s="1"/>
  <c r="BW28" i="25"/>
  <c r="BX28" i="25" s="1"/>
  <c r="BU17" i="25"/>
  <c r="BV17" i="25" s="1"/>
  <c r="BZ17" i="25" s="1"/>
  <c r="BW17" i="25"/>
  <c r="BX17" i="25" s="1"/>
  <c r="BW12" i="25"/>
  <c r="BX12" i="25" s="1"/>
  <c r="BW8" i="25"/>
  <c r="BX8" i="25" s="1"/>
  <c r="BW13" i="25"/>
  <c r="BX13" i="25" s="1"/>
  <c r="BU13" i="25"/>
  <c r="BV13" i="25" s="1"/>
  <c r="BZ13"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sit.wash.pm</author>
    <author>MEAL Activity Manager</author>
    <author>Phyu, Ba</author>
    <author>Thein, Maung Soe</author>
  </authors>
  <commentList>
    <comment ref="M7" authorId="0" shapeId="0" xr:uid="{48ACD8B8-46EC-49F6-87BF-94B48A591C30}">
      <text>
        <r>
          <rPr>
            <b/>
            <sz val="9"/>
            <color indexed="81"/>
            <rFont val="Tahoma"/>
            <family val="2"/>
          </rPr>
          <t>Administrator:</t>
        </r>
        <r>
          <rPr>
            <sz val="9"/>
            <color indexed="81"/>
            <rFont val="Tahoma"/>
            <family val="2"/>
          </rPr>
          <t xml:space="preserve">
SCI</t>
        </r>
      </text>
    </comment>
    <comment ref="M8" authorId="0" shapeId="0" xr:uid="{A23403ED-A63C-44D4-901A-C6BE621DB715}">
      <text>
        <r>
          <rPr>
            <b/>
            <sz val="9"/>
            <color indexed="81"/>
            <rFont val="Tahoma"/>
          </rPr>
          <t>Administrator:</t>
        </r>
        <r>
          <rPr>
            <sz val="9"/>
            <color indexed="81"/>
            <rFont val="Tahoma"/>
          </rPr>
          <t xml:space="preserve">
SCI</t>
        </r>
      </text>
    </comment>
    <comment ref="P8" authorId="1" shapeId="0" xr:uid="{BF3E896A-10D2-4E5D-AD8C-B72FB698ADFA}">
      <text>
        <r>
          <rPr>
            <b/>
            <sz val="9"/>
            <color indexed="81"/>
            <rFont val="Tahoma"/>
            <family val="2"/>
          </rPr>
          <t>sit.wash.pm:</t>
        </r>
        <r>
          <rPr>
            <sz val="9"/>
            <color indexed="81"/>
            <rFont val="Tahoma"/>
            <family val="2"/>
          </rPr>
          <t xml:space="preserve">
No work days lost because of not receiving travel approval documents. No information is available for work days lost due to CMC/ landowner blockages.</t>
        </r>
      </text>
    </comment>
    <comment ref="AB8" authorId="1" shapeId="0" xr:uid="{BFA45206-A175-4A01-8A78-FF2570C84DAE}">
      <text>
        <r>
          <rPr>
            <b/>
            <sz val="9"/>
            <color indexed="81"/>
            <rFont val="Tahoma"/>
            <family val="2"/>
          </rPr>
          <t>sit.wash.pm:</t>
        </r>
        <r>
          <rPr>
            <sz val="9"/>
            <color indexed="81"/>
            <rFont val="Tahoma"/>
            <family val="2"/>
          </rPr>
          <t xml:space="preserve">
No household water storage items were distributed this reporting period.</t>
        </r>
      </text>
    </comment>
    <comment ref="BE8" authorId="1" shapeId="0" xr:uid="{525BF4C0-27D0-4381-BB43-50BCE9D88D68}">
      <text>
        <r>
          <rPr>
            <b/>
            <sz val="9"/>
            <color indexed="81"/>
            <rFont val="Tahoma"/>
            <family val="2"/>
          </rPr>
          <t>sit.wash.pm:</t>
        </r>
        <r>
          <rPr>
            <sz val="9"/>
            <color indexed="81"/>
            <rFont val="Tahoma"/>
            <family val="2"/>
          </rPr>
          <t xml:space="preserve">
OXSI does not have data for this indicator</t>
        </r>
      </text>
    </comment>
    <comment ref="BF8" authorId="1" shapeId="0" xr:uid="{D30A7E60-E01D-4D59-BD46-443CFBF46181}">
      <text>
        <r>
          <rPr>
            <b/>
            <sz val="9"/>
            <color indexed="81"/>
            <rFont val="Tahoma"/>
            <family val="2"/>
          </rPr>
          <t>sit.wash.pm:</t>
        </r>
        <r>
          <rPr>
            <sz val="9"/>
            <color indexed="81"/>
            <rFont val="Tahoma"/>
            <family val="2"/>
          </rPr>
          <t xml:space="preserve">
OXSI does not have data for this indicator</t>
        </r>
      </text>
    </comment>
    <comment ref="BG8" authorId="2" shapeId="0" xr:uid="{885D841E-1996-41BD-B8DC-CD51E27F7EA3}">
      <text>
        <r>
          <rPr>
            <b/>
            <sz val="9"/>
            <color indexed="81"/>
            <rFont val="Tahoma"/>
            <family val="2"/>
          </rPr>
          <t>MEAL Activity Manager:</t>
        </r>
        <r>
          <rPr>
            <sz val="9"/>
            <color indexed="81"/>
            <rFont val="Tahoma"/>
            <family val="2"/>
          </rPr>
          <t xml:space="preserve">
The information is from the recent Satisfaction survey but we just have % of the respondents</t>
        </r>
      </text>
    </comment>
    <comment ref="BJ8" authorId="1" shapeId="0" xr:uid="{6E5ADE21-23D0-49E5-93DA-C833A4517A08}">
      <text>
        <r>
          <rPr>
            <b/>
            <sz val="9"/>
            <color indexed="81"/>
            <rFont val="Tahoma"/>
            <family val="2"/>
          </rPr>
          <t>sit.wash.pm:</t>
        </r>
        <r>
          <rPr>
            <sz val="9"/>
            <color indexed="81"/>
            <rFont val="Tahoma"/>
            <family val="2"/>
          </rPr>
          <t xml:space="preserve">
Not applicable for Sittwe Camps</t>
        </r>
      </text>
    </comment>
    <comment ref="BK8" authorId="1" shapeId="0" xr:uid="{AB1E7175-76D2-4643-A1B3-51DB7C78E029}">
      <text>
        <r>
          <rPr>
            <b/>
            <sz val="9"/>
            <color indexed="81"/>
            <rFont val="Tahoma"/>
            <family val="2"/>
          </rPr>
          <t>sit.wash.pm:</t>
        </r>
        <r>
          <rPr>
            <sz val="9"/>
            <color indexed="81"/>
            <rFont val="Tahoma"/>
            <family val="2"/>
          </rPr>
          <t xml:space="preserve">
Not applicable for Sittwe Camps.</t>
        </r>
      </text>
    </comment>
    <comment ref="BL8" authorId="1" shapeId="0" xr:uid="{A32BA2B3-D1A6-4630-9403-AD9F6150DE62}">
      <text>
        <r>
          <rPr>
            <b/>
            <sz val="9"/>
            <color indexed="81"/>
            <rFont val="Tahoma"/>
            <family val="2"/>
          </rPr>
          <t>sit.wash.pm:</t>
        </r>
        <r>
          <rPr>
            <sz val="9"/>
            <color indexed="81"/>
            <rFont val="Tahoma"/>
            <family val="2"/>
          </rPr>
          <t xml:space="preserve">
Not applicable for Sittwe Camps</t>
        </r>
      </text>
    </comment>
    <comment ref="M9" authorId="0" shapeId="0" xr:uid="{BABD19E1-EC7D-45D5-AAB4-13BC92B32E5A}">
      <text>
        <r>
          <rPr>
            <b/>
            <sz val="9"/>
            <color indexed="81"/>
            <rFont val="Tahoma"/>
          </rPr>
          <t>Administrator:</t>
        </r>
        <r>
          <rPr>
            <sz val="9"/>
            <color indexed="81"/>
            <rFont val="Tahoma"/>
          </rPr>
          <t xml:space="preserve">
SCI</t>
        </r>
      </text>
    </comment>
    <comment ref="N9" authorId="1" shapeId="0" xr:uid="{003679A1-361A-4AF1-9A46-A9E23D4B43B8}">
      <text>
        <r>
          <rPr>
            <b/>
            <sz val="9"/>
            <color indexed="81"/>
            <rFont val="Tahoma"/>
            <family val="2"/>
          </rPr>
          <t>sit.wash.pm:</t>
        </r>
        <r>
          <rPr>
            <sz val="9"/>
            <color indexed="81"/>
            <rFont val="Tahoma"/>
            <family val="2"/>
          </rPr>
          <t xml:space="preserve">
This is for both BDP 1 and 2</t>
        </r>
      </text>
    </comment>
    <comment ref="O9" authorId="1" shapeId="0" xr:uid="{CD570B28-B031-4D7A-95D5-A00D5117475B}">
      <text>
        <r>
          <rPr>
            <b/>
            <sz val="9"/>
            <color indexed="81"/>
            <rFont val="Tahoma"/>
            <family val="2"/>
          </rPr>
          <t>sit.wash.pm:</t>
        </r>
        <r>
          <rPr>
            <sz val="9"/>
            <color indexed="81"/>
            <rFont val="Tahoma"/>
            <family val="2"/>
          </rPr>
          <t xml:space="preserve">
This is for both BDP 1 and 2</t>
        </r>
      </text>
    </comment>
    <comment ref="R9" authorId="1" shapeId="0" xr:uid="{04228C8D-6A87-4379-BB0C-64FD630A9B0E}">
      <text>
        <r>
          <rPr>
            <b/>
            <sz val="9"/>
            <color indexed="81"/>
            <rFont val="Tahoma"/>
            <family val="2"/>
          </rPr>
          <t>sit.wash.pm:</t>
        </r>
        <r>
          <rPr>
            <sz val="9"/>
            <color indexed="81"/>
            <rFont val="Tahoma"/>
            <family val="2"/>
          </rPr>
          <t xml:space="preserve">
For BDP 1 and 2</t>
        </r>
      </text>
    </comment>
    <comment ref="S9" authorId="1" shapeId="0" xr:uid="{10C2C11E-991C-44F4-AD64-95E0E8561C80}">
      <text>
        <r>
          <rPr>
            <b/>
            <sz val="9"/>
            <color indexed="81"/>
            <rFont val="Tahoma"/>
            <family val="2"/>
          </rPr>
          <t>sit.wash.pm:</t>
        </r>
        <r>
          <rPr>
            <sz val="9"/>
            <color indexed="81"/>
            <rFont val="Tahoma"/>
            <family val="2"/>
          </rPr>
          <t xml:space="preserve">
For BDP 1 and 2</t>
        </r>
      </text>
    </comment>
    <comment ref="AH9" authorId="2" shapeId="0" xr:uid="{F3D4F497-68E4-4657-BA39-5F08461D2953}">
      <text>
        <r>
          <rPr>
            <b/>
            <sz val="9"/>
            <color indexed="81"/>
            <rFont val="Tahoma"/>
            <family val="2"/>
          </rPr>
          <t>MEAL Activity Manager:</t>
        </r>
        <r>
          <rPr>
            <sz val="9"/>
            <color indexed="81"/>
            <rFont val="Tahoma"/>
            <family val="2"/>
          </rPr>
          <t xml:space="preserve">
sum of Baw Du Pha 1 and 2</t>
        </r>
      </text>
    </comment>
    <comment ref="AI9" authorId="2" shapeId="0" xr:uid="{D6E0495E-A2D8-4F2C-9DCF-B1CEC631EAD7}">
      <text>
        <r>
          <rPr>
            <b/>
            <sz val="9"/>
            <color indexed="81"/>
            <rFont val="Tahoma"/>
            <family val="2"/>
          </rPr>
          <t>MEAL Activity Manager:</t>
        </r>
        <r>
          <rPr>
            <sz val="9"/>
            <color indexed="81"/>
            <rFont val="Tahoma"/>
            <family val="2"/>
          </rPr>
          <t xml:space="preserve">
Average of Baw Du Pha 1 and 2</t>
        </r>
      </text>
    </comment>
    <comment ref="AJ9" authorId="2" shapeId="0" xr:uid="{2B56DC69-79A5-4CE7-AAC0-C0CACD0CB78B}">
      <text>
        <r>
          <rPr>
            <b/>
            <sz val="9"/>
            <color indexed="81"/>
            <rFont val="Tahoma"/>
            <family val="2"/>
          </rPr>
          <t>MEAL Activity Manager:</t>
        </r>
        <r>
          <rPr>
            <sz val="9"/>
            <color indexed="81"/>
            <rFont val="Tahoma"/>
            <family val="2"/>
          </rPr>
          <t xml:space="preserve">
sum of Baw Du Pha 1 and 2</t>
        </r>
      </text>
    </comment>
    <comment ref="AK9" authorId="2" shapeId="0" xr:uid="{A655171F-0FB6-47AF-AD48-2D3FAFA3FAFC}">
      <text>
        <r>
          <rPr>
            <b/>
            <sz val="9"/>
            <color indexed="81"/>
            <rFont val="Tahoma"/>
            <family val="2"/>
          </rPr>
          <t>MEAL Activity Manager:</t>
        </r>
        <r>
          <rPr>
            <sz val="9"/>
            <color indexed="81"/>
            <rFont val="Tahoma"/>
            <family val="2"/>
          </rPr>
          <t xml:space="preserve">
Average of Baw Du Pha 1 and 2</t>
        </r>
      </text>
    </comment>
    <comment ref="AL9" authorId="2" shapeId="0" xr:uid="{E93705A4-6FA6-4697-AC8C-2761176B2B2D}">
      <text>
        <r>
          <rPr>
            <b/>
            <sz val="9"/>
            <color indexed="81"/>
            <rFont val="Tahoma"/>
            <family val="2"/>
          </rPr>
          <t>MEAL Activity Manager:</t>
        </r>
        <r>
          <rPr>
            <sz val="9"/>
            <color indexed="81"/>
            <rFont val="Tahoma"/>
            <family val="2"/>
          </rPr>
          <t xml:space="preserve">
Average of Baw Du Pha 1 and 2</t>
        </r>
      </text>
    </comment>
    <comment ref="AT9" authorId="2" shapeId="0" xr:uid="{6DFB3AC6-761D-4539-878D-AE2AF224F391}">
      <text>
        <r>
          <rPr>
            <b/>
            <sz val="9"/>
            <color indexed="81"/>
            <rFont val="Tahoma"/>
            <family val="2"/>
          </rPr>
          <t>MEAL Activity Manager:</t>
        </r>
        <r>
          <rPr>
            <sz val="9"/>
            <color indexed="81"/>
            <rFont val="Tahoma"/>
            <family val="2"/>
          </rPr>
          <t xml:space="preserve">
Combination of Baw Du Pha 1 and 2</t>
        </r>
      </text>
    </comment>
    <comment ref="AU9" authorId="2" shapeId="0" xr:uid="{6213A2A1-6013-4883-B92F-2F310151BD32}">
      <text>
        <r>
          <rPr>
            <b/>
            <sz val="9"/>
            <color indexed="81"/>
            <rFont val="Tahoma"/>
            <family val="2"/>
          </rPr>
          <t>MEAL Activity Manager:</t>
        </r>
        <r>
          <rPr>
            <sz val="9"/>
            <color indexed="81"/>
            <rFont val="Tahoma"/>
            <family val="2"/>
          </rPr>
          <t xml:space="preserve">
Combination of Baw Du Pha 1 and 2</t>
        </r>
      </text>
    </comment>
    <comment ref="AV9" authorId="2" shapeId="0" xr:uid="{B7161EE5-702A-49CA-AC93-C2CE9A7B15A8}">
      <text>
        <r>
          <rPr>
            <b/>
            <sz val="9"/>
            <color indexed="81"/>
            <rFont val="Tahoma"/>
            <family val="2"/>
          </rPr>
          <t>MEAL Activity Manager:</t>
        </r>
        <r>
          <rPr>
            <sz val="9"/>
            <color indexed="81"/>
            <rFont val="Tahoma"/>
            <family val="2"/>
          </rPr>
          <t xml:space="preserve">
Combination of Baw Du Pha 1 and 2</t>
        </r>
      </text>
    </comment>
    <comment ref="AW9" authorId="2" shapeId="0" xr:uid="{F8EDD065-07DE-48C8-BC16-871704E595C8}">
      <text>
        <r>
          <rPr>
            <b/>
            <sz val="9"/>
            <color indexed="81"/>
            <rFont val="Tahoma"/>
            <family val="2"/>
          </rPr>
          <t>MEAL Activity Manager:</t>
        </r>
        <r>
          <rPr>
            <sz val="9"/>
            <color indexed="81"/>
            <rFont val="Tahoma"/>
            <family val="2"/>
          </rPr>
          <t xml:space="preserve">
Combination of Baw Du Pha 1 and 2</t>
        </r>
      </text>
    </comment>
    <comment ref="BG9" authorId="1" shapeId="0" xr:uid="{855057E4-45C3-418C-A73F-0FFA3BC90E42}">
      <text>
        <r>
          <rPr>
            <b/>
            <sz val="9"/>
            <color indexed="81"/>
            <rFont val="Tahoma"/>
            <family val="2"/>
          </rPr>
          <t>sit.wash.pm:</t>
        </r>
        <r>
          <rPr>
            <sz val="9"/>
            <color indexed="81"/>
            <rFont val="Tahoma"/>
            <family val="2"/>
          </rPr>
          <t xml:space="preserve">
Combination of Baw Du Pha 1 and 2</t>
        </r>
      </text>
    </comment>
    <comment ref="BH9" authorId="1" shapeId="0" xr:uid="{2861571D-E317-44DD-9216-466F63F5BB7B}">
      <text>
        <r>
          <rPr>
            <b/>
            <sz val="9"/>
            <color indexed="81"/>
            <rFont val="Tahoma"/>
            <family val="2"/>
          </rPr>
          <t>sit.wash.pm:</t>
        </r>
        <r>
          <rPr>
            <sz val="9"/>
            <color indexed="81"/>
            <rFont val="Tahoma"/>
            <family val="2"/>
          </rPr>
          <t xml:space="preserve">
Combination of Baw Du Pha 1 and 2</t>
        </r>
      </text>
    </comment>
    <comment ref="M10" authorId="0" shapeId="0" xr:uid="{11B6A8BE-7295-474A-8C94-07F2DC6806E8}">
      <text>
        <r>
          <rPr>
            <b/>
            <sz val="9"/>
            <color indexed="81"/>
            <rFont val="Tahoma"/>
          </rPr>
          <t>Administrator:</t>
        </r>
        <r>
          <rPr>
            <sz val="9"/>
            <color indexed="81"/>
            <rFont val="Tahoma"/>
          </rPr>
          <t xml:space="preserve">
SCI</t>
        </r>
      </text>
    </comment>
    <comment ref="H11" authorId="0" shapeId="0" xr:uid="{834B9D71-23B0-41A5-A563-0B42D091809C}">
      <text>
        <r>
          <rPr>
            <b/>
            <sz val="9"/>
            <color indexed="81"/>
            <rFont val="Tahoma"/>
            <family val="2"/>
          </rPr>
          <t>Administrator:</t>
        </r>
        <r>
          <rPr>
            <sz val="9"/>
            <color indexed="81"/>
            <rFont val="Tahoma"/>
            <family val="2"/>
          </rPr>
          <t xml:space="preserve">
Baw Du Pha (IDP in host families)</t>
        </r>
      </text>
    </comment>
    <comment ref="M11" authorId="0" shapeId="0" xr:uid="{B75FFFC4-20DA-494F-A45A-AFD2F41F5CE3}">
      <text>
        <r>
          <rPr>
            <b/>
            <sz val="9"/>
            <color indexed="81"/>
            <rFont val="Tahoma"/>
          </rPr>
          <t>Administrator:</t>
        </r>
        <r>
          <rPr>
            <sz val="9"/>
            <color indexed="81"/>
            <rFont val="Tahoma"/>
          </rPr>
          <t xml:space="preserve">
SCI</t>
        </r>
      </text>
    </comment>
    <comment ref="M12" authorId="0" shapeId="0" xr:uid="{606C4CB0-4603-47CD-9D1A-CFF29A69C0D2}">
      <text>
        <r>
          <rPr>
            <b/>
            <sz val="9"/>
            <color indexed="81"/>
            <rFont val="Tahoma"/>
          </rPr>
          <t>Administrator:</t>
        </r>
        <r>
          <rPr>
            <sz val="9"/>
            <color indexed="81"/>
            <rFont val="Tahoma"/>
          </rPr>
          <t xml:space="preserve">
SCI</t>
        </r>
      </text>
    </comment>
    <comment ref="M14" authorId="0" shapeId="0" xr:uid="{7683E897-35F9-4FA5-97AA-47514A5F42B0}">
      <text>
        <r>
          <rPr>
            <b/>
            <sz val="9"/>
            <color indexed="81"/>
            <rFont val="Tahoma"/>
          </rPr>
          <t>Administrator:</t>
        </r>
        <r>
          <rPr>
            <sz val="9"/>
            <color indexed="81"/>
            <rFont val="Tahoma"/>
          </rPr>
          <t xml:space="preserve">
SCI</t>
        </r>
      </text>
    </comment>
    <comment ref="M15" authorId="0" shapeId="0" xr:uid="{F5DDD484-A860-45DB-B053-74EF13C65A79}">
      <text>
        <r>
          <rPr>
            <b/>
            <sz val="9"/>
            <color indexed="81"/>
            <rFont val="Tahoma"/>
          </rPr>
          <t>Administrator:</t>
        </r>
        <r>
          <rPr>
            <sz val="9"/>
            <color indexed="81"/>
            <rFont val="Tahoma"/>
          </rPr>
          <t xml:space="preserve">
SCI</t>
        </r>
      </text>
    </comment>
    <comment ref="M17" authorId="0" shapeId="0" xr:uid="{0AA0DAC4-B101-451D-AE36-F273A8521F1A}">
      <text>
        <r>
          <rPr>
            <b/>
            <sz val="9"/>
            <color indexed="81"/>
            <rFont val="Tahoma"/>
            <family val="2"/>
          </rPr>
          <t>Administrator:</t>
        </r>
        <r>
          <rPr>
            <sz val="9"/>
            <color indexed="81"/>
            <rFont val="Tahoma"/>
            <family val="2"/>
          </rPr>
          <t xml:space="preserve">
SCI</t>
        </r>
      </text>
    </comment>
    <comment ref="M18" authorId="0" shapeId="0" xr:uid="{C0B7FB46-911E-48DC-9E68-C2058630E6EB}">
      <text>
        <r>
          <rPr>
            <b/>
            <sz val="9"/>
            <color indexed="81"/>
            <rFont val="Tahoma"/>
          </rPr>
          <t>Administrator:</t>
        </r>
        <r>
          <rPr>
            <sz val="9"/>
            <color indexed="81"/>
            <rFont val="Tahoma"/>
          </rPr>
          <t xml:space="preserve">
SCI</t>
        </r>
      </text>
    </comment>
    <comment ref="M19" authorId="0" shapeId="0" xr:uid="{8846020A-CD67-44F1-A049-5D149F855C95}">
      <text>
        <r>
          <rPr>
            <b/>
            <sz val="9"/>
            <color indexed="81"/>
            <rFont val="Tahoma"/>
            <family val="2"/>
          </rPr>
          <t>Administrator:</t>
        </r>
        <r>
          <rPr>
            <sz val="9"/>
            <color indexed="81"/>
            <rFont val="Tahoma"/>
            <family val="2"/>
          </rPr>
          <t xml:space="preserve">
SCI</t>
        </r>
      </text>
    </comment>
    <comment ref="M20" authorId="0" shapeId="0" xr:uid="{09916509-5323-4799-B0EE-E5CDACC9D5B7}">
      <text>
        <r>
          <rPr>
            <b/>
            <sz val="9"/>
            <color indexed="81"/>
            <rFont val="Tahoma"/>
            <family val="2"/>
          </rPr>
          <t>Administrator:</t>
        </r>
        <r>
          <rPr>
            <sz val="9"/>
            <color indexed="81"/>
            <rFont val="Tahoma"/>
            <family val="2"/>
          </rPr>
          <t xml:space="preserve">
LWF,EiE</t>
        </r>
      </text>
    </comment>
    <comment ref="M22" authorId="0" shapeId="0" xr:uid="{3640C02D-817F-4F08-9CE7-97784A965E40}">
      <text>
        <r>
          <rPr>
            <b/>
            <sz val="9"/>
            <color indexed="81"/>
            <rFont val="Tahoma"/>
          </rPr>
          <t>Administrator:</t>
        </r>
        <r>
          <rPr>
            <sz val="9"/>
            <color indexed="81"/>
            <rFont val="Tahoma"/>
          </rPr>
          <t xml:space="preserve">
SCI</t>
        </r>
      </text>
    </comment>
    <comment ref="M23" authorId="0" shapeId="0" xr:uid="{2ECB2C9A-CD51-47CE-B010-6E77DECE65E7}">
      <text>
        <r>
          <rPr>
            <b/>
            <sz val="9"/>
            <color indexed="81"/>
            <rFont val="Tahoma"/>
          </rPr>
          <t>Administrator:</t>
        </r>
        <r>
          <rPr>
            <sz val="9"/>
            <color indexed="81"/>
            <rFont val="Tahoma"/>
          </rPr>
          <t xml:space="preserve">
SCI</t>
        </r>
      </text>
    </comment>
    <comment ref="M24" authorId="0" shapeId="0" xr:uid="{1F267134-D17E-4332-83F4-7D011187F2D1}">
      <text>
        <r>
          <rPr>
            <b/>
            <sz val="9"/>
            <color indexed="81"/>
            <rFont val="Tahoma"/>
          </rPr>
          <t>Administrator:</t>
        </r>
        <r>
          <rPr>
            <sz val="9"/>
            <color indexed="81"/>
            <rFont val="Tahoma"/>
          </rPr>
          <t xml:space="preserve">
SCI</t>
        </r>
      </text>
    </comment>
    <comment ref="M25" authorId="0" shapeId="0" xr:uid="{5AD68719-2C1E-4C8D-93BD-8ACB82D3EA15}">
      <text>
        <r>
          <rPr>
            <b/>
            <sz val="9"/>
            <color indexed="81"/>
            <rFont val="Tahoma"/>
          </rPr>
          <t>Administrator:</t>
        </r>
        <r>
          <rPr>
            <sz val="9"/>
            <color indexed="81"/>
            <rFont val="Tahoma"/>
          </rPr>
          <t xml:space="preserve">
SCI</t>
        </r>
      </text>
    </comment>
    <comment ref="M26" authorId="0" shapeId="0" xr:uid="{5A44073D-B063-4228-B0AA-56C9CF20CDDE}">
      <text>
        <r>
          <rPr>
            <b/>
            <sz val="9"/>
            <color indexed="81"/>
            <rFont val="Tahoma"/>
          </rPr>
          <t>Administrator:</t>
        </r>
        <r>
          <rPr>
            <sz val="9"/>
            <color indexed="81"/>
            <rFont val="Tahoma"/>
          </rPr>
          <t xml:space="preserve">
SCI</t>
        </r>
      </text>
    </comment>
    <comment ref="M27" authorId="0" shapeId="0" xr:uid="{3C1C48AF-E636-4C06-AAC8-999DDD965766}">
      <text>
        <r>
          <rPr>
            <b/>
            <sz val="9"/>
            <color indexed="81"/>
            <rFont val="Tahoma"/>
            <family val="2"/>
          </rPr>
          <t>Administrator:</t>
        </r>
        <r>
          <rPr>
            <sz val="9"/>
            <color indexed="81"/>
            <rFont val="Tahoma"/>
            <family val="2"/>
          </rPr>
          <t xml:space="preserve">
SCI</t>
        </r>
      </text>
    </comment>
    <comment ref="T27" authorId="3" shapeId="0" xr:uid="{E33D6141-2217-4217-BCD5-70BF2EEE0322}">
      <text>
        <r>
          <rPr>
            <b/>
            <sz val="9"/>
            <color indexed="81"/>
            <rFont val="Tahoma"/>
            <family val="2"/>
          </rPr>
          <t>Phyu, Ba:</t>
        </r>
        <r>
          <rPr>
            <sz val="9"/>
            <color indexed="81"/>
            <rFont val="Tahoma"/>
            <family val="2"/>
          </rPr>
          <t xml:space="preserve">
15 well
8 water point distribution   with tap stand.</t>
        </r>
      </text>
    </comment>
    <comment ref="V27" authorId="3" shapeId="0" xr:uid="{C4E410C8-10A6-48C7-AC6B-0BE1021C2B35}">
      <text>
        <r>
          <rPr>
            <b/>
            <sz val="9"/>
            <color indexed="81"/>
            <rFont val="Tahoma"/>
            <family val="2"/>
          </rPr>
          <t>Phyu, Ba:</t>
        </r>
        <r>
          <rPr>
            <sz val="9"/>
            <color indexed="81"/>
            <rFont val="Tahoma"/>
            <family val="2"/>
          </rPr>
          <t xml:space="preserve">
Apr- 1396500
May- 2307000</t>
        </r>
      </text>
    </comment>
    <comment ref="X27" authorId="4" shapeId="0" xr:uid="{7900C099-F674-4079-96BB-DC0484F401C1}">
      <text>
        <r>
          <rPr>
            <b/>
            <sz val="9"/>
            <color indexed="81"/>
            <rFont val="Tahoma"/>
            <family val="2"/>
          </rPr>
          <t>Thein, Maung Soe:</t>
        </r>
        <r>
          <rPr>
            <sz val="9"/>
            <color indexed="81"/>
            <rFont val="Tahoma"/>
            <family val="2"/>
          </rPr>
          <t xml:space="preserve">
no water source tested from April to June.</t>
        </r>
      </text>
    </comment>
    <comment ref="AE27" authorId="3" shapeId="0" xr:uid="{E8B2301E-7E72-466E-BF84-BCF18940DBBB}">
      <text>
        <r>
          <rPr>
            <b/>
            <sz val="9"/>
            <color indexed="81"/>
            <rFont val="Tahoma"/>
            <family val="2"/>
          </rPr>
          <t>Phyu, Ba:</t>
        </r>
        <r>
          <rPr>
            <sz val="9"/>
            <color indexed="81"/>
            <rFont val="Tahoma"/>
            <family val="2"/>
          </rPr>
          <t xml:space="preserve">
in this days there is no using water point execting there but distribution from water point.</t>
        </r>
      </text>
    </comment>
    <comment ref="BA27" authorId="0" shapeId="0" xr:uid="{6C3508D8-81A9-417F-B2C0-AF2593CAD325}">
      <text>
        <r>
          <rPr>
            <b/>
            <sz val="9"/>
            <color indexed="81"/>
            <rFont val="Tahoma"/>
            <family val="2"/>
          </rPr>
          <t>Administrator:</t>
        </r>
        <r>
          <rPr>
            <sz val="9"/>
            <color indexed="81"/>
            <rFont val="Tahoma"/>
            <family val="2"/>
          </rPr>
          <t xml:space="preserve">
need to be confirmed</t>
        </r>
      </text>
    </comment>
    <comment ref="M29" authorId="0" shapeId="0" xr:uid="{8F13DE80-5367-45A4-8616-273D50466455}">
      <text>
        <r>
          <rPr>
            <b/>
            <sz val="9"/>
            <color indexed="81"/>
            <rFont val="Tahoma"/>
            <family val="2"/>
          </rPr>
          <t>Administrator:</t>
        </r>
        <r>
          <rPr>
            <sz val="9"/>
            <color indexed="81"/>
            <rFont val="Tahoma"/>
            <family val="2"/>
          </rPr>
          <t xml:space="preserve">
LWF,EiE</t>
        </r>
      </text>
    </comment>
    <comment ref="M30" authorId="0" shapeId="0" xr:uid="{78F90771-BD23-416B-8BC4-07E307EF8895}">
      <text>
        <r>
          <rPr>
            <b/>
            <sz val="9"/>
            <color indexed="81"/>
            <rFont val="Tahoma"/>
          </rPr>
          <t>Administrator:</t>
        </r>
        <r>
          <rPr>
            <sz val="9"/>
            <color indexed="81"/>
            <rFont val="Tahoma"/>
          </rPr>
          <t xml:space="preserve">
SCI</t>
        </r>
      </text>
    </comment>
    <comment ref="M31" authorId="0" shapeId="0" xr:uid="{F7D34536-5447-4F87-AF9F-A64E079EADB5}">
      <text>
        <r>
          <rPr>
            <b/>
            <sz val="9"/>
            <color indexed="81"/>
            <rFont val="Tahoma"/>
          </rPr>
          <t>Administrator:</t>
        </r>
        <r>
          <rPr>
            <sz val="9"/>
            <color indexed="81"/>
            <rFont val="Tahoma"/>
          </rPr>
          <t xml:space="preserve">
SCI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26" authorId="0" shapeId="0" xr:uid="{1A6C022E-B789-45FD-9107-1A297510AA00}">
      <text>
        <r>
          <rPr>
            <b/>
            <sz val="9"/>
            <color indexed="81"/>
            <rFont val="Tahoma"/>
            <family val="2"/>
          </rPr>
          <t>Administrator:</t>
        </r>
        <r>
          <rPr>
            <sz val="9"/>
            <color indexed="81"/>
            <rFont val="Tahoma"/>
            <family val="2"/>
          </rPr>
          <t xml:space="preserve">
from 3W</t>
        </r>
      </text>
    </comment>
    <comment ref="H27" authorId="0" shapeId="0" xr:uid="{ED673FF0-699F-455B-AC9F-2BFAD4B60B28}">
      <text>
        <r>
          <rPr>
            <b/>
            <sz val="9"/>
            <color indexed="81"/>
            <rFont val="Tahoma"/>
            <family val="2"/>
          </rPr>
          <t>Administrator:</t>
        </r>
        <r>
          <rPr>
            <sz val="9"/>
            <color indexed="81"/>
            <rFont val="Tahoma"/>
            <family val="2"/>
          </rPr>
          <t xml:space="preserve">
from 3W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Than Kyaw Soe</author>
  </authors>
  <commentList>
    <comment ref="E420" authorId="0" shapeId="0" xr:uid="{00000000-0006-0000-0F00-000001000000}">
      <text>
        <r>
          <rPr>
            <b/>
            <sz val="9"/>
            <color indexed="81"/>
            <rFont val="Tahoma"/>
            <family val="2"/>
          </rPr>
          <t>Than Kyaw Soe:</t>
        </r>
        <r>
          <rPr>
            <sz val="9"/>
            <color indexed="81"/>
            <rFont val="Tahoma"/>
            <family val="2"/>
          </rPr>
          <t xml:space="preserve">
move to another locations need to change the GPS Point</t>
        </r>
      </text>
    </comment>
  </commentList>
</comments>
</file>

<file path=xl/sharedStrings.xml><?xml version="1.0" encoding="utf-8"?>
<sst xmlns="http://schemas.openxmlformats.org/spreadsheetml/2006/main" count="15568" uniqueCount="3186">
  <si>
    <t>V1</t>
  </si>
  <si>
    <t>V2</t>
  </si>
  <si>
    <t>V3</t>
  </si>
  <si>
    <t>V4</t>
  </si>
  <si>
    <t>V5</t>
  </si>
  <si>
    <t>V7</t>
  </si>
  <si>
    <t>V8</t>
  </si>
  <si>
    <t>x1</t>
  </si>
  <si>
    <t>x2</t>
  </si>
  <si>
    <t>x4</t>
  </si>
  <si>
    <t>x5</t>
  </si>
  <si>
    <t>x6</t>
  </si>
  <si>
    <t>x7</t>
  </si>
  <si>
    <t>x8</t>
  </si>
  <si>
    <t>x9</t>
  </si>
  <si>
    <t>x10</t>
  </si>
  <si>
    <t>drop down</t>
  </si>
  <si>
    <t>#</t>
  </si>
  <si>
    <t>Text</t>
  </si>
  <si>
    <t>date</t>
  </si>
  <si>
    <t>Reporting Period</t>
  </si>
  <si>
    <t>WASH focal Agency</t>
  </si>
  <si>
    <t>State</t>
  </si>
  <si>
    <t>Township</t>
  </si>
  <si>
    <t>Site Name</t>
  </si>
  <si>
    <t>Total HH</t>
  </si>
  <si>
    <t xml:space="preserve">Total PoP </t>
  </si>
  <si>
    <t xml:space="preserve">Primary Donor covering WASH activities at site </t>
  </si>
  <si>
    <t>CCCM Management</t>
  </si>
  <si>
    <t>CCCM Focal Agency</t>
  </si>
  <si>
    <t>Type of accommodation</t>
  </si>
  <si>
    <t>Ethnic or GCA/NGCA</t>
  </si>
  <si>
    <t>Lat</t>
  </si>
  <si>
    <t>Long</t>
  </si>
  <si>
    <t>Pcode</t>
  </si>
  <si>
    <t>Covered</t>
  </si>
  <si>
    <t>Remark</t>
  </si>
  <si>
    <t>KMSS</t>
  </si>
  <si>
    <t>Kachin</t>
  </si>
  <si>
    <t>Mansi</t>
  </si>
  <si>
    <t>Maing Khaung Catholic Church</t>
  </si>
  <si>
    <t>DFID/HARP</t>
  </si>
  <si>
    <t>Yes</t>
  </si>
  <si>
    <t>KMSS-BMO</t>
  </si>
  <si>
    <t>Camp</t>
  </si>
  <si>
    <t>GCA</t>
  </si>
  <si>
    <t>HRP calculation</t>
  </si>
  <si>
    <t>Current Indicators</t>
  </si>
  <si>
    <t>Definitions/Remarks</t>
  </si>
  <si>
    <t xml:space="preserve">CAMP </t>
  </si>
  <si>
    <t xml:space="preserve">VILLAGE </t>
  </si>
  <si>
    <t>V9</t>
  </si>
  <si>
    <t>V10</t>
  </si>
  <si>
    <t># Work days (approx) lost in this site due to access restrictions</t>
  </si>
  <si>
    <t>Yes/No</t>
  </si>
  <si>
    <t>V11</t>
  </si>
  <si>
    <t>%</t>
  </si>
  <si>
    <t>V12</t>
  </si>
  <si>
    <t>HRP 1 (improved sources)</t>
  </si>
  <si>
    <t>V13</t>
  </si>
  <si>
    <t>V17</t>
  </si>
  <si>
    <t>V16</t>
  </si>
  <si>
    <t>V18</t>
  </si>
  <si>
    <t>N/A</t>
  </si>
  <si>
    <t>V20</t>
  </si>
  <si>
    <t>V21</t>
  </si>
  <si>
    <t>V22</t>
  </si>
  <si>
    <t>V23</t>
  </si>
  <si>
    <t>V25</t>
  </si>
  <si>
    <t>V26</t>
  </si>
  <si>
    <t>V27</t>
  </si>
  <si>
    <t>V28</t>
  </si>
  <si>
    <t>HRP Code</t>
  </si>
  <si>
    <t>4W Code</t>
  </si>
  <si>
    <t>Corresponding 4W indicator</t>
  </si>
  <si>
    <t>Unit</t>
  </si>
  <si>
    <t>HRP1</t>
  </si>
  <si>
    <t>Number of people with access to functional sanitation facilities</t>
  </si>
  <si>
    <t>Number of people reached by regular dedicated hygiene promotion/behavior change activities</t>
  </si>
  <si>
    <r>
      <rPr>
        <sz val="18"/>
        <color theme="0"/>
        <rFont val="Calibri"/>
        <family val="2"/>
      </rPr>
      <t>WASH CLUSTER</t>
    </r>
    <r>
      <rPr>
        <b/>
        <sz val="18"/>
        <color theme="0"/>
        <rFont val="Calibri"/>
        <family val="2"/>
      </rPr>
      <t xml:space="preserve"> 4W MATRIX </t>
    </r>
    <r>
      <rPr>
        <sz val="18"/>
        <color theme="0"/>
        <rFont val="Calibri"/>
        <family val="2"/>
      </rPr>
      <t>MYANMAR</t>
    </r>
  </si>
  <si>
    <t>Objectives of the 4W matrix:</t>
  </si>
  <si>
    <t>To identify the geographical positionning of the different intervenants (Who)</t>
  </si>
  <si>
    <t>To reduce the geographical gaps coverage (Where)</t>
  </si>
  <si>
    <t>To produce a basic analysis of the needs covered, and needs remaining (What)</t>
  </si>
  <si>
    <t>To predict at minima the coverage extension or reduction in short term (When)</t>
  </si>
  <si>
    <t>To support defining priorities (traffic light)</t>
  </si>
  <si>
    <t>To offer a synthetic situation overview, a relavant and comparable analysis over time</t>
  </si>
  <si>
    <t>The 4W exercise cannot replace more complex and field monitoring tools and analysis.</t>
  </si>
  <si>
    <t xml:space="preserve"> It won't analyse much the qualitative aspect of the intervention, while it is a pre-condition for any intervention </t>
  </si>
  <si>
    <t>To respect minimum technical standards, shared and contextualised by the cluster</t>
  </si>
  <si>
    <t>Principle</t>
  </si>
  <si>
    <t>The matrix remain a flexible tools and can be frequently adapted, based on field experience, needs, and change in the intervention context</t>
  </si>
  <si>
    <t>The Wash cluster has the duty to offer a feed back on data provided by the Agency, and offer a consolidated analysis.</t>
  </si>
  <si>
    <t>The wash cluster meeting, state level or country level, are the place to exchange on result findings</t>
  </si>
  <si>
    <t>The 4W should be updated at quaterly basis, while all agencies are requested to fill the form to offer a more accurate and relevant outlook of the situation</t>
  </si>
  <si>
    <t>The 4W and its analysis is shared with the Myanmar autorities at state and national level</t>
  </si>
  <si>
    <t>The wash cluster is in charge of gathering the information from the State government, in case of technical direct implementation</t>
  </si>
  <si>
    <t>The 4W consolidated by the wash cluster and its analysis will be quarterly shared through the google wash group, WASH Cluster google drive and the MIMU internet site</t>
  </si>
  <si>
    <t>Use of Excel Sheet:</t>
  </si>
  <si>
    <t>DATABASE: Main database for Data Entry by partners</t>
  </si>
  <si>
    <t>HRP Calculations: Calculations method for HRP indicators</t>
  </si>
  <si>
    <t>ANALYSIS: overall Analysis based on partner's  quarterly update 4 Ws</t>
  </si>
  <si>
    <t>Kachin/Rakhine/Shan: Quarterly Snapshot by state. Mapping can not be included in data entry period. It will be included in final version of 4 W released.</t>
  </si>
  <si>
    <t>By Camp: camp level analysis with different dimensions</t>
  </si>
  <si>
    <t>Focal point Agency:</t>
  </si>
  <si>
    <t xml:space="preserve">As per WASH cluster strategic plan and SOF, the approach remains one main wash actor per camp </t>
  </si>
  <si>
    <t>However, depending of the needs, two actors can be considered per sub sector, and different regarding wash sub-sector</t>
  </si>
  <si>
    <t>From a cluster point of view, to facilitate the data collection, the defined focal wash agency is reporting for the overall wash situation in the location, and not only on its own activities</t>
  </si>
  <si>
    <t>The agency focal point is defined on an bilateral agreement between NGOs, while the Cluster can accompaign any process difficulties</t>
  </si>
  <si>
    <t>Geographical reporting coverage</t>
  </si>
  <si>
    <t>WASH Cluster, through intersectorial coordination with CCCM, is providing a site baseline data. However,  this pre-defined list is not closed to new locations, if related to the emergency.</t>
  </si>
  <si>
    <t>In case of new location (ex: spontaneous camps not registered with CCCM, host communities considered directly affected, isolated villages facing</t>
  </si>
  <si>
    <t>humanitarian risk…), please mark in the Database, and engage exchange with the Wash cluster in order to properly recognize this location, and allow to exchange with CCCM if needed.</t>
  </si>
  <si>
    <t>The agencies are also welcome to cross check the data and mention major discrepancies with field observations. The wash cluster in that case ensures a follow up at the inter-cluster level</t>
  </si>
  <si>
    <t>CALCULATION</t>
  </si>
  <si>
    <t>V14</t>
  </si>
  <si>
    <t>V15</t>
  </si>
  <si>
    <t>Number of People with equitable and continuous access to sufficient quantity of safe drinking water through improved water sources</t>
  </si>
  <si>
    <t>Number of People access to unimproved water sources</t>
  </si>
  <si>
    <t># of Water points coverage</t>
  </si>
  <si>
    <r>
      <t>% of equitable and continuous access to sufficient quantity of safe drinking and domestic water's GAP</t>
    </r>
    <r>
      <rPr>
        <b/>
        <sz val="10"/>
        <color rgb="FFFF0000"/>
        <rFont val="Corbel"/>
        <family val="2"/>
      </rPr>
      <t/>
    </r>
  </si>
  <si>
    <t># Potential required new water points</t>
  </si>
  <si>
    <t>Total required water points</t>
  </si>
  <si>
    <t># potential required new latrines</t>
  </si>
  <si>
    <t>Total required Latrines</t>
  </si>
  <si>
    <t>Hygiene Coverage %</t>
  </si>
  <si>
    <t>%people reached by regular dedicated hygiene promotion/behavior change activities</t>
  </si>
  <si>
    <t>% of HH with access to soap</t>
  </si>
  <si>
    <t>Location Type</t>
  </si>
  <si>
    <t>Location Type 1</t>
  </si>
  <si>
    <t>No</t>
  </si>
  <si>
    <t>Functional</t>
  </si>
  <si>
    <t>Household</t>
  </si>
  <si>
    <t>Sin Bo</t>
  </si>
  <si>
    <t>NA</t>
  </si>
  <si>
    <t>KBC</t>
  </si>
  <si>
    <t>Waingmaw</t>
  </si>
  <si>
    <t>Sha-It Yang</t>
  </si>
  <si>
    <t xml:space="preserve">Plan/GFFO,ADRA/CANADA  </t>
  </si>
  <si>
    <t>Both</t>
  </si>
  <si>
    <t>Chipwi</t>
  </si>
  <si>
    <t>Hpare Hkyer - BP6</t>
  </si>
  <si>
    <t>Hpakant</t>
  </si>
  <si>
    <t>Hlaing Naung Baptist</t>
  </si>
  <si>
    <t>ADRA/CANADA</t>
  </si>
  <si>
    <t>Non_Functional</t>
  </si>
  <si>
    <t>Mogaung</t>
  </si>
  <si>
    <t xml:space="preserve">Kyun Taw Baptist Church </t>
  </si>
  <si>
    <t>Mang Hawng Baptist Church</t>
  </si>
  <si>
    <t xml:space="preserve">Nat Gyi Kone Baptist Church </t>
  </si>
  <si>
    <t>Sar Hmaw - KBC</t>
  </si>
  <si>
    <t>Mohnyin</t>
  </si>
  <si>
    <t xml:space="preserve">Nawng Ing (Indawgyi) Baptist Church </t>
  </si>
  <si>
    <t>Myitkyina</t>
  </si>
  <si>
    <t>Du Kahtawng Baptist</t>
  </si>
  <si>
    <t>Jan Mai Kawng Baptist Church</t>
  </si>
  <si>
    <t>Kyun Pin Thar Baptist Church</t>
  </si>
  <si>
    <t>Le Kone Bethlehem Church</t>
  </si>
  <si>
    <t xml:space="preserve">Le Kone Ziun Baptist Church </t>
  </si>
  <si>
    <t>Maliyang Baptist Church</t>
  </si>
  <si>
    <t>Man Hkring Baptist Church</t>
  </si>
  <si>
    <t xml:space="preserve">Njang Dung Baptist Church </t>
  </si>
  <si>
    <t>Shatapru Sut Ngai Tawng</t>
  </si>
  <si>
    <t>Shwe Zet Baptist Church</t>
  </si>
  <si>
    <t>Tat Kone Baptist Church</t>
  </si>
  <si>
    <t>Tat Kone Galile Baptist Church</t>
  </si>
  <si>
    <t>Tat Kone San Pya Baptist Church</t>
  </si>
  <si>
    <t>Puta-O</t>
  </si>
  <si>
    <t>Lung Sut</t>
  </si>
  <si>
    <t>Hkau Shau (BP 12)</t>
  </si>
  <si>
    <t>Mading Baptist Church</t>
  </si>
  <si>
    <t xml:space="preserve">Maga Yang </t>
  </si>
  <si>
    <t>Maina KBC (Bawng Ring)</t>
  </si>
  <si>
    <t>Maina Lawang Baptist Church</t>
  </si>
  <si>
    <t>Pajau - Jan Mai</t>
  </si>
  <si>
    <t>Qtr. 2 Myoma Baptist Church</t>
  </si>
  <si>
    <t>Shing Jai</t>
  </si>
  <si>
    <t>Maing Khaung</t>
  </si>
  <si>
    <t>Sumprabum</t>
  </si>
  <si>
    <t>Ndup Yang</t>
  </si>
  <si>
    <t>Not_inPlace</t>
  </si>
  <si>
    <t>Salang Yang</t>
  </si>
  <si>
    <t xml:space="preserve">Shar Du Zut KBC church </t>
  </si>
  <si>
    <t>Shar Du Zut RC church</t>
  </si>
  <si>
    <t>Muyin church (Aung Yar pre-school compound)</t>
  </si>
  <si>
    <t>Shar Du Zut SanPya</t>
  </si>
  <si>
    <t>Metta</t>
  </si>
  <si>
    <t>Mansi Baptist Church</t>
  </si>
  <si>
    <t>USAID, Christian AID, HIDA</t>
  </si>
  <si>
    <t>Bhamo</t>
  </si>
  <si>
    <t>Aung Thar Church</t>
  </si>
  <si>
    <t>WHH ( BMZ ),USAID</t>
  </si>
  <si>
    <t>Htoi San Church</t>
  </si>
  <si>
    <t>USAID, Christian AID, HIDA, WHH ( AA )</t>
  </si>
  <si>
    <t>Lisu Boarding-House</t>
  </si>
  <si>
    <t>Mu-yin Baptist Church</t>
  </si>
  <si>
    <t>WHH ( BMZ ),USAID, HIDA</t>
  </si>
  <si>
    <t>Nant Hlaing Church</t>
  </si>
  <si>
    <t>Yoe Kyi Monastery</t>
  </si>
  <si>
    <t>Momauk</t>
  </si>
  <si>
    <t>Agritural Compound (KBC)</t>
  </si>
  <si>
    <t>Kachin Su Baptist Church (ECCD)</t>
  </si>
  <si>
    <t>USAID,Christian Aid, HIDA</t>
  </si>
  <si>
    <t>Khar Nan (1) Baptist Church</t>
  </si>
  <si>
    <t>Man Bung Catholic compound</t>
  </si>
  <si>
    <t>Mandalay Monestry</t>
  </si>
  <si>
    <t>WHH ( BMZ ),USAID, Christian AID</t>
  </si>
  <si>
    <t>Momauk Baptist Church</t>
  </si>
  <si>
    <t>Shwegu</t>
  </si>
  <si>
    <t>Shwe Gu Baptist Church</t>
  </si>
  <si>
    <t>Shwe Gu Catholic Church</t>
  </si>
  <si>
    <t xml:space="preserve">Hpun Lum Yang </t>
  </si>
  <si>
    <t>WHH-BMZ,WHH-AA</t>
  </si>
  <si>
    <t>Boys Boarding house, A Len Bum</t>
  </si>
  <si>
    <t>Girl Boarding house, A Len Bum</t>
  </si>
  <si>
    <t xml:space="preserve">Woi Chyai </t>
  </si>
  <si>
    <t>Woi Chyai host families</t>
  </si>
  <si>
    <t>Woi Chyai (Mong Lai)</t>
  </si>
  <si>
    <t>IDP Boarding School, A Len Bum</t>
  </si>
  <si>
    <t>Pan Wa</t>
  </si>
  <si>
    <t>DFID/UNICEF</t>
  </si>
  <si>
    <t>Saw Zam</t>
  </si>
  <si>
    <t xml:space="preserve">DFID / UNICEF </t>
  </si>
  <si>
    <t>Communal</t>
  </si>
  <si>
    <t>5 Ward RC Church(lon Khin)</t>
  </si>
  <si>
    <t>Nant Ma Hpit Catholic Church</t>
  </si>
  <si>
    <t xml:space="preserve">Dum Bung </t>
  </si>
  <si>
    <t>Jan Mai Kawng Catholic Church</t>
  </si>
  <si>
    <t>Nan Kway St. John Catholic Church</t>
  </si>
  <si>
    <t>Pa Dauk Myaing(Pa La Na)</t>
  </si>
  <si>
    <t>Border Post 8</t>
  </si>
  <si>
    <t>Maina Catholic Church (St. Joseph)</t>
  </si>
  <si>
    <t>Post 6 Camp</t>
  </si>
  <si>
    <t xml:space="preserve">St. Patrick Catholic Church </t>
  </si>
  <si>
    <t xml:space="preserve">Ma Hawng RC </t>
  </si>
  <si>
    <t>UNICEF</t>
  </si>
  <si>
    <t>Shalom</t>
  </si>
  <si>
    <t>Lawng Hkang Shait Yang Camp​ ( Lel Pyin)​ </t>
  </si>
  <si>
    <t>OFDA</t>
  </si>
  <si>
    <t>Chipwi KBC camp</t>
  </si>
  <si>
    <t>UNICEF/OFDA</t>
  </si>
  <si>
    <t>Lhaovao Baptist Church (LBC)</t>
  </si>
  <si>
    <t>AG Church, Hmaw Si Sa</t>
  </si>
  <si>
    <t>AG Church, Maw Wan</t>
  </si>
  <si>
    <t>Baptist Church, Hmaw Si Sar(Lon Khin)</t>
  </si>
  <si>
    <t>Chin Church, Seik Mu</t>
  </si>
  <si>
    <t>Dhama Rakhita, Nyein Chan Tar Yar Ward(Lon Khin)</t>
  </si>
  <si>
    <t>Hmaw Wan, Anglican</t>
  </si>
  <si>
    <t>Hpakant Baptist Church, Nam Ma Hpit</t>
  </si>
  <si>
    <t>Lisu Baptist Church, Maw Shan Vil,. Seik Mu</t>
  </si>
  <si>
    <t>Lisu Baptist Church, Maw Wan Ward</t>
  </si>
  <si>
    <t>Maw Wan, Mu-yin Baptist Church</t>
  </si>
  <si>
    <t>Nam Ma Phyit, COC</t>
  </si>
  <si>
    <t>Rawan Baptist Church, Maw Shan Vil., Seik Mu</t>
  </si>
  <si>
    <t>Sai Nai Baptish Church, Maw Shan Vil., Seki Mu</t>
  </si>
  <si>
    <t xml:space="preserve">Ward 2 Sai Taung Baptist Church, Seik Mu </t>
  </si>
  <si>
    <t>Yumar Baptist Church</t>
  </si>
  <si>
    <t>Maw Hpawng Hka Nan Baptist Church</t>
  </si>
  <si>
    <t>Maw Hpawng Lhaovo Baptist Church</t>
  </si>
  <si>
    <t>Shatapru Thida Aye Baptist Church</t>
  </si>
  <si>
    <t>Tat Kone COC Baptist - Tat Kone Htoi San</t>
  </si>
  <si>
    <t>Tat Kone Emanuel Church</t>
  </si>
  <si>
    <t xml:space="preserve">Hkat Cho </t>
  </si>
  <si>
    <t>Maina AG Church</t>
  </si>
  <si>
    <t>Nawng Hee Village</t>
  </si>
  <si>
    <t>Qtr. 2 Lhaovo Baptist Church</t>
  </si>
  <si>
    <t>Qtr. 3 Mu-yin  Baptist Church</t>
  </si>
  <si>
    <t>Qtr. 4 Monestry (Thargaya Thayett Taw)</t>
  </si>
  <si>
    <t>Thargaya Lisu Baptist Church</t>
  </si>
  <si>
    <t>Waingmaw AG Church</t>
  </si>
  <si>
    <t>SI</t>
  </si>
  <si>
    <t>AD-2000 Tharthana Compound</t>
  </si>
  <si>
    <t>ECHO/OFDA</t>
  </si>
  <si>
    <t>Phan Khar Kone</t>
  </si>
  <si>
    <t>Robert Church</t>
  </si>
  <si>
    <t>Loi Je Baptist Church</t>
  </si>
  <si>
    <t>Loi Je Catholic Church</t>
  </si>
  <si>
    <t>Loi Je Lisu Camp</t>
  </si>
  <si>
    <t xml:space="preserve">Nyaung Na Pin </t>
  </si>
  <si>
    <t>ECHO,OFDA</t>
  </si>
  <si>
    <t xml:space="preserve">Seng Ja </t>
  </si>
  <si>
    <t>Man Bung Edin Baptist Church</t>
  </si>
  <si>
    <t>Lwegel High School</t>
  </si>
  <si>
    <t>Laiza Je Yang School</t>
  </si>
  <si>
    <t xml:space="preserve">Je Yang Hka </t>
  </si>
  <si>
    <t>WPN</t>
  </si>
  <si>
    <t>ECHO</t>
  </si>
  <si>
    <t>Unknown</t>
  </si>
  <si>
    <t>Lana Zup Ja</t>
  </si>
  <si>
    <t xml:space="preserve">Nhkawng Pa </t>
  </si>
  <si>
    <t xml:space="preserve">Pa Kahtawng </t>
  </si>
  <si>
    <t>SCI</t>
  </si>
  <si>
    <t>Man Wing Baptist Church</t>
  </si>
  <si>
    <t>MHF</t>
  </si>
  <si>
    <t>Man Wing Baptist Church Cultural Compound</t>
  </si>
  <si>
    <t>Man Wing Catholic Church</t>
  </si>
  <si>
    <t>Man Wing Catholic Church II</t>
  </si>
  <si>
    <t>MA_UK</t>
  </si>
  <si>
    <t>Rakhine</t>
  </si>
  <si>
    <t>Sittwe</t>
  </si>
  <si>
    <t>MAA</t>
  </si>
  <si>
    <t>DFID</t>
  </si>
  <si>
    <t>Dar Paing Village</t>
  </si>
  <si>
    <t>None</t>
  </si>
  <si>
    <t>Phwe Yar Gone village</t>
  </si>
  <si>
    <t>Thar Yar Kone (M)</t>
  </si>
  <si>
    <t>Kyauktaw</t>
  </si>
  <si>
    <t>Ah Lel Mu</t>
  </si>
  <si>
    <t>CARE</t>
  </si>
  <si>
    <t>Maungdaw</t>
  </si>
  <si>
    <t>Alay Mushee</t>
  </si>
  <si>
    <t>EU</t>
  </si>
  <si>
    <t>Malteser</t>
  </si>
  <si>
    <t>Aung Thay Pyay (NaTaLa)</t>
  </si>
  <si>
    <t>AA</t>
  </si>
  <si>
    <t>Aung Thay Pyay (San Suri)</t>
  </si>
  <si>
    <t>Minbya</t>
  </si>
  <si>
    <t>Cheit Taung</t>
  </si>
  <si>
    <t>ACF</t>
  </si>
  <si>
    <t>DPA</t>
  </si>
  <si>
    <t>Europaid</t>
  </si>
  <si>
    <t>Fatar</t>
  </si>
  <si>
    <t>CDN</t>
  </si>
  <si>
    <t>Buthidaung</t>
  </si>
  <si>
    <t xml:space="preserve">Faw Tay Ali </t>
  </si>
  <si>
    <t>ZOA</t>
  </si>
  <si>
    <t>Kha Maung Seik North</t>
  </si>
  <si>
    <t>Ma Gyi Koung</t>
  </si>
  <si>
    <t>Majee Ywa</t>
  </si>
  <si>
    <t>Ann</t>
  </si>
  <si>
    <t>Mingalar on</t>
  </si>
  <si>
    <t>BMZ</t>
  </si>
  <si>
    <t>Muslim (Aley Ywa)</t>
  </si>
  <si>
    <t>Muslim (Taung Ywa)</t>
  </si>
  <si>
    <t>Myaunk Ywa_R</t>
  </si>
  <si>
    <t>Nant Yar Gaing (Nant Yar Gaing)</t>
  </si>
  <si>
    <t>Nat Chaung (Garapyin)</t>
  </si>
  <si>
    <t>Palae' Kaine</t>
  </si>
  <si>
    <t>GIZ</t>
  </si>
  <si>
    <t>Phas Kawri</t>
  </si>
  <si>
    <t>Pin Zaing</t>
  </si>
  <si>
    <t>Rathedaung</t>
  </si>
  <si>
    <t>Pyaing Taung (Rakhine)</t>
  </si>
  <si>
    <t>LIFT</t>
  </si>
  <si>
    <t>Rakhine Ywa</t>
  </si>
  <si>
    <t>Rakhine Ywa_R</t>
  </si>
  <si>
    <t>Raza Bil</t>
  </si>
  <si>
    <t>Sapar Seik (Shari)</t>
  </si>
  <si>
    <t>Shwe Yin Aye</t>
  </si>
  <si>
    <t>Thit Taw Ywa</t>
  </si>
  <si>
    <t>Thit Tone Na Gwa Sone (Daung Ywa)</t>
  </si>
  <si>
    <t>Thit Tone Na Gwa Sone (Ywa Ma)</t>
  </si>
  <si>
    <t>Thit Tone Nar Lay Myo</t>
  </si>
  <si>
    <t>Thone Gwa</t>
  </si>
  <si>
    <t>Wa Khote Chaung</t>
  </si>
  <si>
    <t>Wai Thar Le</t>
  </si>
  <si>
    <t>Ywa Ma</t>
  </si>
  <si>
    <t>Ywa Thar Yar</t>
  </si>
  <si>
    <t>Ramree</t>
  </si>
  <si>
    <t>Ramree Ward 6</t>
  </si>
  <si>
    <t>Ramree Town</t>
  </si>
  <si>
    <t>Kyaukpyu</t>
  </si>
  <si>
    <t>Yae Myet</t>
  </si>
  <si>
    <t>Kyauk Ka Lay</t>
  </si>
  <si>
    <t>Baw Ya Par</t>
  </si>
  <si>
    <t>Rakhine Min Pyin</t>
  </si>
  <si>
    <t>Chin Ywar Min Pyin</t>
  </si>
  <si>
    <t>Wa Hmyaung</t>
  </si>
  <si>
    <t>Pyu Chaing</t>
  </si>
  <si>
    <t>War Net Chun</t>
  </si>
  <si>
    <t>Oxfam</t>
  </si>
  <si>
    <t>Ka Nyin Taw</t>
  </si>
  <si>
    <t>Kyauk Ta Lone</t>
  </si>
  <si>
    <t>MHDO</t>
  </si>
  <si>
    <t>Aung Thar Yar</t>
  </si>
  <si>
    <t>Mei Za Li Kaing</t>
  </si>
  <si>
    <t>Nyaung Chaung_ann</t>
  </si>
  <si>
    <t>Kan Za Li</t>
  </si>
  <si>
    <t>Taik Maw</t>
  </si>
  <si>
    <t>Wet Mee To</t>
  </si>
  <si>
    <t>Lun Kyaw</t>
  </si>
  <si>
    <t>Taung Chauk</t>
  </si>
  <si>
    <t>Oe Pone</t>
  </si>
  <si>
    <t>Sa Khan Maw</t>
  </si>
  <si>
    <t>Tan Chaung</t>
  </si>
  <si>
    <t>Laung Sat</t>
  </si>
  <si>
    <t>Kha Yan Kyun</t>
  </si>
  <si>
    <t>Nga Let Kya</t>
  </si>
  <si>
    <t>Chin Kone</t>
  </si>
  <si>
    <t>Pyaung Chaung</t>
  </si>
  <si>
    <t>Sin U Taik</t>
  </si>
  <si>
    <t>Zu Kaing</t>
  </si>
  <si>
    <t>Swi Chaung</t>
  </si>
  <si>
    <t>Kyeik Chaung</t>
  </si>
  <si>
    <t>Za Yat Kwin</t>
  </si>
  <si>
    <t>Dar Let (South)</t>
  </si>
  <si>
    <t>Ywar Haung Ah Htet</t>
  </si>
  <si>
    <t>Dar Let Ah Lel Kyun</t>
  </si>
  <si>
    <t>Nat Maw (Upper)</t>
  </si>
  <si>
    <t>Shan Kone</t>
  </si>
  <si>
    <t>Dar Let (North)</t>
  </si>
  <si>
    <t>Kwayt Shey Ywar Thit
(Kwayt Shay)</t>
  </si>
  <si>
    <t>RI</t>
  </si>
  <si>
    <t>Myebon</t>
  </si>
  <si>
    <t>Taung Paw</t>
  </si>
  <si>
    <t>Kan Thar Htwat Wa</t>
  </si>
  <si>
    <t>Pauktaw</t>
  </si>
  <si>
    <t>Sin Tet Maw Rakhine(Baw Da Li)</t>
  </si>
  <si>
    <t>Sin Tet Maw (Host)</t>
  </si>
  <si>
    <t>Sin Tet Maw</t>
  </si>
  <si>
    <t>Nget Chaung 1</t>
  </si>
  <si>
    <t>Nget Chaung 2</t>
  </si>
  <si>
    <t>Sin Aing</t>
  </si>
  <si>
    <t>DRC</t>
  </si>
  <si>
    <t>Kyein Ni Pyin</t>
  </si>
  <si>
    <t>Ah Nauk Ye Ku Lar</t>
  </si>
  <si>
    <t>Ah Nauk Ywe</t>
  </si>
  <si>
    <t>Bar Sa Yar Host</t>
  </si>
  <si>
    <t>Basare</t>
  </si>
  <si>
    <t>Bu May</t>
  </si>
  <si>
    <t>Set Yone Su 1</t>
  </si>
  <si>
    <t>Thea Chaung Let Tha Mar Kone</t>
  </si>
  <si>
    <t>Sat Roe Kya 1</t>
  </si>
  <si>
    <t>Sat Roe Kya 2</t>
  </si>
  <si>
    <t>Set Yone Su 3</t>
  </si>
  <si>
    <t>Thea Chaung Ku Lar</t>
  </si>
  <si>
    <t>Thae Chaung</t>
  </si>
  <si>
    <t>Dar Pai (IDP in host families)</t>
  </si>
  <si>
    <t>Dar Pai</t>
  </si>
  <si>
    <t>Baw Du Pha 1</t>
  </si>
  <si>
    <t xml:space="preserve">Thet Kae Pyin </t>
  </si>
  <si>
    <t>Baw Du Pha 2</t>
  </si>
  <si>
    <t>Thet Kae Pyin Village (IDPs in host family)</t>
  </si>
  <si>
    <t>Hla May Shwe</t>
  </si>
  <si>
    <t>Ohn Taw Gyi (South)</t>
  </si>
  <si>
    <t>Maw Ti Ngar</t>
  </si>
  <si>
    <t>Ohn Taw Gyi (North)</t>
  </si>
  <si>
    <t>Say Tha Mar Nge</t>
  </si>
  <si>
    <t>Thet Kay Pyin Ywar Ma</t>
  </si>
  <si>
    <t>Done Pyin Village</t>
  </si>
  <si>
    <t>Ohn Taw Gyi</t>
  </si>
  <si>
    <t>Say Tha Mar Gyi village</t>
  </si>
  <si>
    <t>Zaw Pu Gyar</t>
  </si>
  <si>
    <t>Say Tha Mar Gyi</t>
  </si>
  <si>
    <t>Ohn Taw Shey</t>
  </si>
  <si>
    <t>Ohn Taw Chay</t>
  </si>
  <si>
    <t>Nga/ Pun Ywar Shey</t>
  </si>
  <si>
    <t>Daung Pyauk Kay</t>
  </si>
  <si>
    <t>Kan Ni</t>
  </si>
  <si>
    <t>Nga/ Pun Ywar Gyi</t>
  </si>
  <si>
    <t>Thein Tan</t>
  </si>
  <si>
    <t>Me la zi Kone</t>
  </si>
  <si>
    <t>Ah Lar Than</t>
  </si>
  <si>
    <t xml:space="preserve">Aung Daing </t>
  </si>
  <si>
    <t>Kyet Taw Pyin</t>
  </si>
  <si>
    <t>Nga/Tauk Tet</t>
  </si>
  <si>
    <t>Ponnagyun</t>
  </si>
  <si>
    <t>Tan Khoe</t>
  </si>
  <si>
    <t>Kywi Te</t>
  </si>
  <si>
    <t>Chi Laing Hpin</t>
  </si>
  <si>
    <t>Tan Zwei</t>
  </si>
  <si>
    <t>Nyaung Pin Gyi (Ku Lar)</t>
  </si>
  <si>
    <t>Nyaung Pin Gyi (Rakhine)</t>
  </si>
  <si>
    <t>Thar Si</t>
  </si>
  <si>
    <t>Tha Dar</t>
  </si>
  <si>
    <t>Irish Aid</t>
  </si>
  <si>
    <t>Chaik Taung</t>
  </si>
  <si>
    <t>Shwe Zin Khin (Rakhine)</t>
  </si>
  <si>
    <t>Kan Chaung Wa</t>
  </si>
  <si>
    <t>San Htoe Tan</t>
  </si>
  <si>
    <t>Ah Nauk Pyin</t>
  </si>
  <si>
    <t>Chein Khar Li</t>
  </si>
  <si>
    <t>Yoe Ngu</t>
  </si>
  <si>
    <t>Koe Tan Kauk</t>
  </si>
  <si>
    <t>Naw Wai</t>
  </si>
  <si>
    <t>Mrauk-U</t>
  </si>
  <si>
    <t>Let Than Chi (Ywar Thit)</t>
  </si>
  <si>
    <t>Kyauk Sar Taing</t>
  </si>
  <si>
    <t>Let Than Chi (Haung)</t>
  </si>
  <si>
    <t>Nyaung Pin Hla</t>
  </si>
  <si>
    <t>Zee kone Tan (or) Kon Tan Zay</t>
  </si>
  <si>
    <t>Mi Chaung Yae Thauk</t>
  </si>
  <si>
    <t>Baw Di Kone</t>
  </si>
  <si>
    <t>Yan Aung Pyin</t>
  </si>
  <si>
    <t>Lone Tin</t>
  </si>
  <si>
    <t>Myet Tauk</t>
  </si>
  <si>
    <t>Thit Ka Toe</t>
  </si>
  <si>
    <t>Bu Chaung</t>
  </si>
  <si>
    <t>Dar Peit</t>
  </si>
  <si>
    <t>Kyone Pyin</t>
  </si>
  <si>
    <t xml:space="preserve">U Htoe Dan </t>
  </si>
  <si>
    <t>Tauk Sone</t>
  </si>
  <si>
    <t>Navy Seik</t>
  </si>
  <si>
    <t>Pann Phaw Pyin</t>
  </si>
  <si>
    <t>Shwe Ta Mar</t>
  </si>
  <si>
    <t>Sin Oe</t>
  </si>
  <si>
    <t>Kyauk Pan Du (NTL)</t>
  </si>
  <si>
    <t>Pauk Pin Yin</t>
  </si>
  <si>
    <t>Be Lar Mi</t>
  </si>
  <si>
    <t>Ah Du</t>
  </si>
  <si>
    <t>Than Du</t>
  </si>
  <si>
    <t>Ni Lin Paw</t>
  </si>
  <si>
    <t>Ah Htet Nan Yar (Muslim)</t>
  </si>
  <si>
    <t>Ah Htet Nan Yar (Rakhine)</t>
  </si>
  <si>
    <t>Yin Chaung</t>
  </si>
  <si>
    <t>Ah Htet Nan Yar</t>
  </si>
  <si>
    <t>Chut Pyin</t>
  </si>
  <si>
    <t>Chin Ywa(Pyaing Taung)</t>
  </si>
  <si>
    <t>Maw Htet</t>
  </si>
  <si>
    <t>Tha Yet Oak</t>
  </si>
  <si>
    <t>Pyin Chay</t>
  </si>
  <si>
    <t>Pyin Hlyar Shey</t>
  </si>
  <si>
    <t>Kar Di</t>
  </si>
  <si>
    <t>Kywe Lan Chaung</t>
  </si>
  <si>
    <t>Pet Khwet Seik</t>
  </si>
  <si>
    <t>Nga San Baw (Moke Soe Chaung) (Ywar Haung)</t>
  </si>
  <si>
    <t>Maung Hpyu (Da Pyu Chaung)</t>
  </si>
  <si>
    <t>Kyauk Yan Thar Si</t>
  </si>
  <si>
    <t>Gaw Yaw Ma Ni</t>
  </si>
  <si>
    <t>Maw</t>
  </si>
  <si>
    <t>Kyaung Taung</t>
  </si>
  <si>
    <t>Ngwe Taung</t>
  </si>
  <si>
    <t>Kone Tan</t>
  </si>
  <si>
    <t>Zin Kha Mar</t>
  </si>
  <si>
    <t>Ah Myet Taung</t>
  </si>
  <si>
    <t>Pyaing Taung</t>
  </si>
  <si>
    <t>Taung Chaung</t>
  </si>
  <si>
    <t>Yet Khone Taing</t>
  </si>
  <si>
    <t>Taung Maw</t>
  </si>
  <si>
    <t>Thein Taung pyin (Dine Net)</t>
  </si>
  <si>
    <t>Kon Tan (U Daung Ah Nauk)</t>
  </si>
  <si>
    <t>Zee Khaung</t>
  </si>
  <si>
    <t>Zon Mar</t>
  </si>
  <si>
    <t>Hla Tha Ma</t>
  </si>
  <si>
    <t>Thein Taung pyin (Muslim)</t>
  </si>
  <si>
    <t>Langui</t>
  </si>
  <si>
    <t>Kyauk Pyin Seik</t>
  </si>
  <si>
    <t>Say Tha Ma</t>
  </si>
  <si>
    <t>Pe Tha Du</t>
  </si>
  <si>
    <t>Ahr Kar Taung</t>
  </si>
  <si>
    <t>Oke Taung Pyin</t>
  </si>
  <si>
    <t>Kan Sit</t>
  </si>
  <si>
    <t>Gan Gaw Myaing ( Na Ta La )</t>
  </si>
  <si>
    <t>Ohn Chaung</t>
  </si>
  <si>
    <t>Aung Pa</t>
  </si>
  <si>
    <t>Kar Di (Kywe Cho Maw)</t>
  </si>
  <si>
    <t>Thaing Ta Poke</t>
  </si>
  <si>
    <t>Oke Hpo (Oe Hpauk)</t>
  </si>
  <si>
    <t>Nyaung Chaung</t>
  </si>
  <si>
    <t>Phyar Pyin</t>
  </si>
  <si>
    <t>Oe Hpauk Ywar Thit</t>
  </si>
  <si>
    <t>In Bar Yi</t>
  </si>
  <si>
    <t>Ah Htet See Maung</t>
  </si>
  <si>
    <t>Oke Kan</t>
  </si>
  <si>
    <t>Gwa Sone Muslim</t>
  </si>
  <si>
    <t>Gwa Sone Rakhine</t>
  </si>
  <si>
    <t>Doke Kan Chaung</t>
  </si>
  <si>
    <t>Tha Pyay Seik</t>
  </si>
  <si>
    <t>Goke Pi Htaunt (Rakhine)</t>
  </si>
  <si>
    <t>Nay Pu Khan</t>
  </si>
  <si>
    <t>Goke Pi Htaunt</t>
  </si>
  <si>
    <t>Honsara (Zaw Ma Tat)</t>
  </si>
  <si>
    <t>Hin Thar Ra</t>
  </si>
  <si>
    <t>Du Than Dar</t>
  </si>
  <si>
    <t>Kine Gyi (Rakhine)</t>
  </si>
  <si>
    <t>Sin Khone Taing (Ku Lar)</t>
  </si>
  <si>
    <t>Saw Kina Ma</t>
  </si>
  <si>
    <t>Zaw Ma Tat</t>
  </si>
  <si>
    <t>Lam Bar Gone Nah</t>
  </si>
  <si>
    <t>Din Gar</t>
  </si>
  <si>
    <t>Ah Pauk Wa</t>
  </si>
  <si>
    <t>Gaung Gyi</t>
  </si>
  <si>
    <t>Maw Staw Bis</t>
  </si>
  <si>
    <t>Ywar Thit Kay</t>
  </si>
  <si>
    <t>Wet Ma Kya</t>
  </si>
  <si>
    <t>Sin Khone Taing (Rakhine)</t>
  </si>
  <si>
    <t>Say Taung</t>
  </si>
  <si>
    <t>Yun Nyar</t>
  </si>
  <si>
    <t>Pyin  Hla Zay Ywa</t>
  </si>
  <si>
    <t>Zedi Taung (Muslim)</t>
  </si>
  <si>
    <t>Thein Tan (Rakhine)</t>
  </si>
  <si>
    <t>Thein Tan (Muslim)</t>
  </si>
  <si>
    <t>Kan Pyin</t>
  </si>
  <si>
    <t xml:space="preserve">Baw Li </t>
  </si>
  <si>
    <t>Kyauk Sar Dine</t>
  </si>
  <si>
    <t>Gudar Pyin</t>
  </si>
  <si>
    <t>Nwar Yone Taung</t>
  </si>
  <si>
    <t>Tha Yet Taung</t>
  </si>
  <si>
    <t>San Go Taung</t>
  </si>
  <si>
    <t>Kha Yay Myaing (NaTaLa)</t>
  </si>
  <si>
    <t>Shat Shar Taung</t>
  </si>
  <si>
    <t>Kyauk Yan (Rakhine)</t>
  </si>
  <si>
    <t>U Yin Thar</t>
  </si>
  <si>
    <t>Godzilla (Hteik Tu Pauk Myauk)</t>
  </si>
  <si>
    <t>Tat Oo Anauk</t>
  </si>
  <si>
    <t>Sein Hnyin Pyar_Tha Pyay Taw</t>
  </si>
  <si>
    <t>Let Wea Det Pyin Shey_Tha Pyay Taw</t>
  </si>
  <si>
    <t>Shwe Hlaing</t>
  </si>
  <si>
    <t>Nur Ru Lar</t>
  </si>
  <si>
    <t>Shwe Hlaing Rakhine</t>
  </si>
  <si>
    <t>Min Thar Seik</t>
  </si>
  <si>
    <t>Mardilla</t>
  </si>
  <si>
    <t>Taung Ywa</t>
  </si>
  <si>
    <t>Phwe Ra</t>
  </si>
  <si>
    <t>Taungchay Ywa Muslim</t>
  </si>
  <si>
    <t>Chaung Pauk</t>
  </si>
  <si>
    <t>Myauk Ywa</t>
  </si>
  <si>
    <t>Kan Tha Ya</t>
  </si>
  <si>
    <t>Kyar Nyo Pyin (Rakhine)
+ Pyar Yae</t>
  </si>
  <si>
    <t>Ashit Ywa_M</t>
  </si>
  <si>
    <t>Ashit Ywa_R</t>
  </si>
  <si>
    <t>Hla Nyo Kan</t>
  </si>
  <si>
    <t>Ah Nauk</t>
  </si>
  <si>
    <t>Kin Chaung</t>
  </si>
  <si>
    <t>Let Saung Kauk</t>
  </si>
  <si>
    <t>Ywar Gyi</t>
  </si>
  <si>
    <t>Ywar Gyi (Middle)</t>
  </si>
  <si>
    <t>Kyar Nyo Pyin (Muslim)</t>
  </si>
  <si>
    <t>Taung Pauk</t>
  </si>
  <si>
    <t>Kyauk Se</t>
  </si>
  <si>
    <t>Ngar Yauk Kaing</t>
  </si>
  <si>
    <t>Done Thein</t>
  </si>
  <si>
    <t>Let Thar Ywa</t>
  </si>
  <si>
    <t>Bomu Ywa</t>
  </si>
  <si>
    <t>Kin Taung (Taung + Myauk)</t>
  </si>
  <si>
    <t>Kan Pyi Tha Zi</t>
  </si>
  <si>
    <t>Thaung Paing Nyar</t>
  </si>
  <si>
    <t>Ywa Haung_M</t>
  </si>
  <si>
    <t>Ywa Haung_R</t>
  </si>
  <si>
    <t xml:space="preserve">Kan Kyar Taung </t>
  </si>
  <si>
    <t>Ywa thit Kay</t>
  </si>
  <si>
    <t>Ah Lel Ywa</t>
  </si>
  <si>
    <t>Myoma Myauk (Chitta Ywa)</t>
  </si>
  <si>
    <t>Kan Kyar Myauk</t>
  </si>
  <si>
    <t>Shauk Chaung</t>
  </si>
  <si>
    <t>Myaung Nar</t>
  </si>
  <si>
    <t>Ward-6 (Lay Myaing)</t>
  </si>
  <si>
    <t>Let Wea Det Pyin Shey_Ywar Thit</t>
  </si>
  <si>
    <t>Inn Hpauk</t>
  </si>
  <si>
    <t>Gar Pu (Lower)</t>
  </si>
  <si>
    <t>Ah Htet Gar Pu</t>
  </si>
  <si>
    <t>Let Wea Det Pyin Shey</t>
  </si>
  <si>
    <t>Taung Htaung Ha Yar</t>
  </si>
  <si>
    <t>Ywa Gyi (Tha Yet Kin Ma Nu)</t>
  </si>
  <si>
    <t>Ka Doe Seik</t>
  </si>
  <si>
    <t>Taung (Pale Taung)</t>
  </si>
  <si>
    <t>Kyet Mauk Taung (Myauk Ywar)</t>
  </si>
  <si>
    <t>Kyet Mauk Taung (Taung Ywar)</t>
  </si>
  <si>
    <t>Play Taung Ywa Gyi North</t>
  </si>
  <si>
    <t>Khaung Htoke</t>
  </si>
  <si>
    <t>Nan Yah Gone Ahtet</t>
  </si>
  <si>
    <t>Gone Nar</t>
  </si>
  <si>
    <t>Doe Tan</t>
  </si>
  <si>
    <t>Kyauk Yit Muslim</t>
  </si>
  <si>
    <t>Kyauk Yit RK</t>
  </si>
  <si>
    <t>Palay Taung Ywa Thit</t>
  </si>
  <si>
    <t>Let Wea Det</t>
  </si>
  <si>
    <t>Pyaing Chaung</t>
  </si>
  <si>
    <t>Kyar Nyo Inn</t>
  </si>
  <si>
    <t>Si Tar (Pa Zun Chaung)</t>
  </si>
  <si>
    <t>Pa Lat Kay</t>
  </si>
  <si>
    <t>Aung Thar Yar (NaTaLa)</t>
  </si>
  <si>
    <t>Pale Taung</t>
  </si>
  <si>
    <t>Kha Yu Chaung (Muslim)</t>
  </si>
  <si>
    <t>Laung Chaung (Daing Net)</t>
  </si>
  <si>
    <t>Ba Da Nar</t>
  </si>
  <si>
    <t>Mee Chaung Zay_Ywar Thit</t>
  </si>
  <si>
    <t>Inn Chaung (Muslim)</t>
  </si>
  <si>
    <t>Inn Chaung (Daing Net)</t>
  </si>
  <si>
    <t>Hpar Wut Chaung</t>
  </si>
  <si>
    <t>Hpar Wut Chaung (Myauk Ywar)</t>
  </si>
  <si>
    <t>Zay Teit Taung</t>
  </si>
  <si>
    <t>Chin Pyin</t>
  </si>
  <si>
    <t>Ywar Thar Yar</t>
  </si>
  <si>
    <t>Zin Paing Nyar</t>
  </si>
  <si>
    <t>San Pai Pin Yin</t>
  </si>
  <si>
    <t>Ngan Chaung_Gone Nar</t>
  </si>
  <si>
    <t>Yai Myet Taung Ywa Thit</t>
  </si>
  <si>
    <t>Khat Pa Kaung</t>
  </si>
  <si>
    <t>Lu Fan Pyin</t>
  </si>
  <si>
    <t>Kywe Ta Ma</t>
  </si>
  <si>
    <t>Nga Khu Ya (Myauk Ywar)</t>
  </si>
  <si>
    <t>Kyein Chaung</t>
  </si>
  <si>
    <t>Hindu</t>
  </si>
  <si>
    <t>Koun Tan</t>
  </si>
  <si>
    <t>Lin Bar Gone Nar</t>
  </si>
  <si>
    <t>Yai Mya</t>
  </si>
  <si>
    <t>Sa Pe Kong A Nauk Ywa</t>
  </si>
  <si>
    <t>Sin Thay Pyin (Zay Di Pyin)</t>
  </si>
  <si>
    <t>Kyun Pauk Ku Lar</t>
  </si>
  <si>
    <t>Thet Kaing Ngyar</t>
  </si>
  <si>
    <t>That Kaing Nyar (Thet)</t>
  </si>
  <si>
    <t>Ah Nauk Ka Maung Seik</t>
  </si>
  <si>
    <t>Thae Chaung(Rakhine)</t>
  </si>
  <si>
    <t>Taung Htaung</t>
  </si>
  <si>
    <t>Nga Ta Paung</t>
  </si>
  <si>
    <t>Tha Yet Oke Ywar Haung</t>
  </si>
  <si>
    <t>Pyein Chaung</t>
  </si>
  <si>
    <t>Pyaung Seik</t>
  </si>
  <si>
    <t>La Mu Ta Pin</t>
  </si>
  <si>
    <t>Ahla Madi</t>
  </si>
  <si>
    <t>Kyaung Swae Phyu</t>
  </si>
  <si>
    <t>Shan (North)</t>
  </si>
  <si>
    <t>Namhkan</t>
  </si>
  <si>
    <t>Nam Hkam Catholic Church ( St. Thomas I)</t>
  </si>
  <si>
    <t>ECHO,HARP</t>
  </si>
  <si>
    <t>Kutkai</t>
  </si>
  <si>
    <t>Kutkai downtown (RC Church)</t>
  </si>
  <si>
    <t>HARP</t>
  </si>
  <si>
    <t>Manton</t>
  </si>
  <si>
    <t>Mandung - RC</t>
  </si>
  <si>
    <t>Mungji Pa Dabang (Catholic Church)</t>
  </si>
  <si>
    <t>Muse</t>
  </si>
  <si>
    <t>Muse Catholic Church</t>
  </si>
  <si>
    <t>Nam Hkam - Nay Win Ni (Palawng)</t>
  </si>
  <si>
    <t>Mungji Pa Dabang (Baptist Church)</t>
  </si>
  <si>
    <t>WHH</t>
  </si>
  <si>
    <t>Nam Hkawng</t>
  </si>
  <si>
    <t xml:space="preserve">Nam Hpak Ka Mare </t>
  </si>
  <si>
    <t>WHH(BMZ,AA)</t>
  </si>
  <si>
    <t>WHH(BMZ, AA)</t>
  </si>
  <si>
    <t>Hseni</t>
  </si>
  <si>
    <t>Nam Sa Larp</t>
  </si>
  <si>
    <t>Namtu</t>
  </si>
  <si>
    <t>Pan Ta Pyae</t>
  </si>
  <si>
    <t>Zup Aung Camp</t>
  </si>
  <si>
    <t>Other</t>
  </si>
  <si>
    <t>Kone Khem Camp</t>
  </si>
  <si>
    <t>Kutkai downtown (KBC Church)</t>
  </si>
  <si>
    <t xml:space="preserve">New Pang Ku </t>
  </si>
  <si>
    <t>Kyu Sot</t>
  </si>
  <si>
    <t>Lisu Church Namtu</t>
  </si>
  <si>
    <t xml:space="preserve">Mung Hawm </t>
  </si>
  <si>
    <t>Kutkai downtown (KBC Church-2)</t>
  </si>
  <si>
    <t>Nam Tu Baptist</t>
  </si>
  <si>
    <t>Mandung - Jinghpaw</t>
  </si>
  <si>
    <t>Mine Yu Lay village</t>
  </si>
  <si>
    <t>Muse Baptist Church</t>
  </si>
  <si>
    <t>Nam Hkam (KBC Jaw Wang) II</t>
  </si>
  <si>
    <t>WHH(BMZ, AA),ECHO</t>
  </si>
  <si>
    <t>Namhkan - Pang Long KBC</t>
  </si>
  <si>
    <t>Man Loi</t>
  </si>
  <si>
    <t>Hpai Kawng</t>
  </si>
  <si>
    <t>Hsipaw</t>
  </si>
  <si>
    <t>Man Kaung/Naung Ti Kyar Village</t>
  </si>
  <si>
    <t>Narte</t>
  </si>
  <si>
    <t>Hpai Kawng Mare</t>
  </si>
  <si>
    <t>Man Sa</t>
  </si>
  <si>
    <t>Mong Wee Shan</t>
  </si>
  <si>
    <t>Pan Law</t>
  </si>
  <si>
    <t>Nam Hkam (KBC Jaw Wang)</t>
  </si>
  <si>
    <t>Tsan Lun - Namjarap</t>
  </si>
  <si>
    <t>Kutkhai KBC-2 (Block-6)</t>
  </si>
  <si>
    <t>Jwan Jaw KBC</t>
  </si>
  <si>
    <t>Type of Accommodation</t>
  </si>
  <si>
    <t>HRP categories</t>
  </si>
  <si>
    <t>Current 4 W reported list</t>
  </si>
  <si>
    <t>Updated Date</t>
  </si>
  <si>
    <t>Site Name_(Old)</t>
  </si>
  <si>
    <t>Aung Mingalar_(Swan Saw ward)</t>
  </si>
  <si>
    <t>Closed Camp</t>
  </si>
  <si>
    <t>IDPs in collective centers or self-settled - pre existing</t>
  </si>
  <si>
    <t>Q1_2017</t>
  </si>
  <si>
    <t>B.E.H.S 2 (Ho Mun ward)</t>
  </si>
  <si>
    <t>B.E.H.S 4 (Ho Mun ward)</t>
  </si>
  <si>
    <t>Ban Hkung (School)</t>
  </si>
  <si>
    <t>Ban Hkung Yang</t>
  </si>
  <si>
    <t>Ban Hkung Yang (Boarding School)</t>
  </si>
  <si>
    <t>Daw Hpum Yang Ninghtawn</t>
  </si>
  <si>
    <t>Gant Gwin</t>
  </si>
  <si>
    <t>KBC (Ho Mun Ward)</t>
  </si>
  <si>
    <t>Lawk Awng Mare D. (Sinbo Area)</t>
  </si>
  <si>
    <t>Host Families</t>
  </si>
  <si>
    <t>IDPs in host families</t>
  </si>
  <si>
    <t>Lawk Hkawng Ginwang</t>
  </si>
  <si>
    <t>Injangyang</t>
  </si>
  <si>
    <t>Camp like setting</t>
  </si>
  <si>
    <t>Nam Hka Mare (west of Man Wing)</t>
  </si>
  <si>
    <t>NGCA</t>
  </si>
  <si>
    <t xml:space="preserve">Nam Hkam Malut Jak </t>
  </si>
  <si>
    <t>Q4_2016</t>
  </si>
  <si>
    <t>Nam Lim Pa    (Boarding School)</t>
  </si>
  <si>
    <t>Namt Hkun monastery</t>
  </si>
  <si>
    <t>Namtu KBC 1</t>
  </si>
  <si>
    <t>3/Jul/2017: Changed camp status as "Closed" according to the information of KBC. Note from KBC "Namtu KBC 1(MMR015CMP230) and Namtu KBC 2 (MMR015CMP231) are already integrated into the old camp ( Nam Tu Baptist (MMR015CMP014)".
17-01-2017: New added camp. Missing data will be collected from partners and present in next Report.</t>
  </si>
  <si>
    <t>Namtu KBC 2</t>
  </si>
  <si>
    <t>combined with KBC 1</t>
  </si>
  <si>
    <t>Namtu RC</t>
  </si>
  <si>
    <t>all IDPs returned home; open status in July 31 CCCM camp list</t>
  </si>
  <si>
    <t>Si Hkan Gyi</t>
  </si>
  <si>
    <t>St. Peter Church (Ho Mun ward)</t>
  </si>
  <si>
    <t>Thu Kha Waddy</t>
  </si>
  <si>
    <t xml:space="preserve">Wein Sai Church </t>
  </si>
  <si>
    <t>UNHCR</t>
  </si>
  <si>
    <t>Planned Camp</t>
  </si>
  <si>
    <t>Muslim</t>
  </si>
  <si>
    <t>Ward 6</t>
  </si>
  <si>
    <t>Self Settled Camp</t>
  </si>
  <si>
    <t>Village</t>
  </si>
  <si>
    <t xml:space="preserve">WASH - resettled, relocated, surrounding communities &amp; host communities </t>
  </si>
  <si>
    <t>Nga/Oke</t>
  </si>
  <si>
    <t xml:space="preserve">Kyauk Ta Lone </t>
  </si>
  <si>
    <t>Q2_2017</t>
  </si>
  <si>
    <t>MHDO updated</t>
  </si>
  <si>
    <t>Village_Not HRP</t>
  </si>
  <si>
    <t>Q3_2016</t>
  </si>
  <si>
    <t>Taik Maw(Tike Maw)</t>
  </si>
  <si>
    <t>Chin+Rakhine</t>
  </si>
  <si>
    <t>Nga Lat Kya</t>
  </si>
  <si>
    <t>Zu Kaing(Ka Zu Kaing)</t>
  </si>
  <si>
    <t>Kywi Pyin</t>
  </si>
  <si>
    <t>Chin</t>
  </si>
  <si>
    <t>Kyeik Chaung(Jade Chaung)</t>
  </si>
  <si>
    <t>Yaw Haung Ah Htet
(Ywar Haung)</t>
  </si>
  <si>
    <t>Nat Maw Upper + Nat Maw</t>
  </si>
  <si>
    <t>Nga Shwe Pyin</t>
  </si>
  <si>
    <t>Ah Ngu Ywar Haung</t>
  </si>
  <si>
    <t>Ah Ngu Ywar Thit</t>
  </si>
  <si>
    <t>Ohn Taw</t>
  </si>
  <si>
    <t>Aung Le Byin</t>
  </si>
  <si>
    <t>Pyin Taw Che</t>
  </si>
  <si>
    <t>Relocated</t>
  </si>
  <si>
    <t>Chin (Khame)</t>
  </si>
  <si>
    <t>Khame</t>
  </si>
  <si>
    <t>Chin (Rakhine)</t>
  </si>
  <si>
    <t>Taung Pyin</t>
  </si>
  <si>
    <t>Sin Tet Maw (from Nget Chaung)</t>
  </si>
  <si>
    <t>Sin Tet Maw (Nget Chaung)</t>
  </si>
  <si>
    <t xml:space="preserve">Pyar Tha Kywe </t>
  </si>
  <si>
    <t>Thit Khoke Taw</t>
  </si>
  <si>
    <t>Thit Khaung Taw</t>
  </si>
  <si>
    <t>Nget Chaung</t>
  </si>
  <si>
    <t>Gaung Hpyu</t>
  </si>
  <si>
    <t>Yet Chaung</t>
  </si>
  <si>
    <t>Dagon</t>
  </si>
  <si>
    <t>Pein Hne Chaung</t>
  </si>
  <si>
    <t>Painnal Chaung</t>
  </si>
  <si>
    <t>A Nauk Ywe</t>
  </si>
  <si>
    <t>Wet Gaung</t>
  </si>
  <si>
    <t>Pa Lin Pyin (Muslim)</t>
  </si>
  <si>
    <t>Basara</t>
  </si>
  <si>
    <t>Pa Lin Pyin (Rakhine, Fisher)</t>
  </si>
  <si>
    <t>Pa Lin Pyin (Rakhine, Main)</t>
  </si>
  <si>
    <t>Pyar Lay Chaung (New)</t>
  </si>
  <si>
    <t>Pyar Lay Chaung (Old)</t>
  </si>
  <si>
    <t>Ohn Yee Paw</t>
  </si>
  <si>
    <t>Maramargyi</t>
  </si>
  <si>
    <t>Thea Chaung  carpenter</t>
  </si>
  <si>
    <t>Kyauk Nga Nwar</t>
  </si>
  <si>
    <t>Sat Roe Kya</t>
  </si>
  <si>
    <t>Dohn Taik Kwin</t>
  </si>
  <si>
    <t>Done Dike Kwin host</t>
  </si>
  <si>
    <t>Thae Chaung (Kyaukphyu)</t>
  </si>
  <si>
    <t>Thea Chaung (IDPs from Kyaukphyu)*</t>
  </si>
  <si>
    <t>Thea Chaung Village</t>
  </si>
  <si>
    <t>Thea Chaung market</t>
  </si>
  <si>
    <t xml:space="preserve">Thea Chaung </t>
  </si>
  <si>
    <t>agencies gap,combine with village pop</t>
  </si>
  <si>
    <t>Dar Pai (IDP in host family)</t>
  </si>
  <si>
    <t>Ba Wan Chaung Wa Su</t>
  </si>
  <si>
    <t>agencies gap</t>
  </si>
  <si>
    <t>Ba Wunn Chaung Wa Su</t>
  </si>
  <si>
    <t>agencies gap,to ask SI to be splicted BDP1, BDP2</t>
  </si>
  <si>
    <t>Thet Kel Pyin</t>
  </si>
  <si>
    <t>Hmansi ( from Kaung Doke Khar)</t>
  </si>
  <si>
    <t>Baw Du Pha</t>
  </si>
  <si>
    <t>Kaung Doke Khar (excl. Hmanzi)</t>
  </si>
  <si>
    <t>Baw Du Pha (IDP in host family)</t>
  </si>
  <si>
    <t>Ohn Taw Gyi South</t>
  </si>
  <si>
    <t>Maw Ti Ngar (TKP west)</t>
  </si>
  <si>
    <t>Ohn Taw Gyi North</t>
  </si>
  <si>
    <t>Gwa Son</t>
  </si>
  <si>
    <t>Khwa Sone</t>
  </si>
  <si>
    <t>Phwe Yar Gone</t>
  </si>
  <si>
    <t>Kann Ni</t>
  </si>
  <si>
    <t>Nga/Pun Ywar Gyi</t>
  </si>
  <si>
    <t>Ah Haung Taung</t>
  </si>
  <si>
    <t>Ah Houng Taung</t>
  </si>
  <si>
    <t>Thin Pone Tan</t>
  </si>
  <si>
    <t>village</t>
  </si>
  <si>
    <t>Sa Par Htar</t>
  </si>
  <si>
    <t>Nat Seik</t>
  </si>
  <si>
    <t>Met Ka Lar Kya</t>
  </si>
  <si>
    <t>Returned</t>
  </si>
  <si>
    <t>Nyaung Pin Gyi</t>
  </si>
  <si>
    <t>Kyauk Seik</t>
  </si>
  <si>
    <t>Paik Thay</t>
  </si>
  <si>
    <t>Shwe Laung Tin</t>
  </si>
  <si>
    <t>Chait Taung - Tha Dar</t>
  </si>
  <si>
    <t>Mixed</t>
  </si>
  <si>
    <t>Chait Taung</t>
  </si>
  <si>
    <t>Shwe Zin Khin</t>
  </si>
  <si>
    <t>Chein Khar Li (Rakhine)</t>
  </si>
  <si>
    <t>old data update on 24.4.2017</t>
  </si>
  <si>
    <t>Chait Taung - San Htoe Tan</t>
  </si>
  <si>
    <t>Sam Ba Le</t>
  </si>
  <si>
    <t>Set Yone Maw</t>
  </si>
  <si>
    <t>Koe Tan Kauk (Rakhine)</t>
  </si>
  <si>
    <t>Let Than Chi (Tiit)</t>
  </si>
  <si>
    <t>Aung Taing</t>
  </si>
  <si>
    <t>Bucheung</t>
  </si>
  <si>
    <t>Da Pae</t>
  </si>
  <si>
    <t>Thi Kyar</t>
  </si>
  <si>
    <t>Yai-Thei-Thi Kyar</t>
  </si>
  <si>
    <t>Yai Thei-Muslim</t>
  </si>
  <si>
    <t>Yai Thei</t>
  </si>
  <si>
    <t>Kyun Paw (Pauk Taw)</t>
  </si>
  <si>
    <t>Auk Nan Yar</t>
  </si>
  <si>
    <t>Zay Di Pyin</t>
  </si>
  <si>
    <t>Pa Rein</t>
  </si>
  <si>
    <t>Pi Dauk Myaing</t>
  </si>
  <si>
    <t>Padauk Myaing</t>
  </si>
  <si>
    <t>Pu Yain Kone</t>
  </si>
  <si>
    <t>Doe Wai Chaung</t>
  </si>
  <si>
    <t>Sa Hpo Gyun</t>
  </si>
  <si>
    <t>Kyein Tan</t>
  </si>
  <si>
    <t>Kardi</t>
  </si>
  <si>
    <t>Raw Ma Ni Sin Oe</t>
  </si>
  <si>
    <t>Kyawe Lan Chaung</t>
  </si>
  <si>
    <t>Pet Kwet Seik</t>
  </si>
  <si>
    <t>Lan Paik Khwin</t>
  </si>
  <si>
    <t>Zan Kha Ma</t>
  </si>
  <si>
    <t>Prine Taung</t>
  </si>
  <si>
    <t>Not_HRP</t>
  </si>
  <si>
    <t>Oo Daung Ah Nauk Ywa</t>
  </si>
  <si>
    <t>Zumar Ywa</t>
  </si>
  <si>
    <t>Q3_2017</t>
  </si>
  <si>
    <t>CDN Updated, CLTS village</t>
  </si>
  <si>
    <t>Im Bar Yi</t>
  </si>
  <si>
    <t>Ah Htet See Maun</t>
  </si>
  <si>
    <t>Kaing Gyi</t>
  </si>
  <si>
    <t>Ah Pauk Wa Village</t>
  </si>
  <si>
    <t>U Saung Tan (lower)</t>
  </si>
  <si>
    <t>CDN Updated</t>
  </si>
  <si>
    <t>Kha Yai Myaing</t>
  </si>
  <si>
    <t>Ashit Ywa</t>
  </si>
  <si>
    <t>A Nauk Ywa</t>
  </si>
  <si>
    <t>Ywa Gyi</t>
  </si>
  <si>
    <t>Middle</t>
  </si>
  <si>
    <t>Tha Yet Oke Ywar Thit</t>
  </si>
  <si>
    <t xml:space="preserve">M </t>
  </si>
  <si>
    <t>Taung Pine Nyar</t>
  </si>
  <si>
    <t>Ywa Haung</t>
  </si>
  <si>
    <t>Nidin</t>
  </si>
  <si>
    <t>Ni Din</t>
  </si>
  <si>
    <t>Play Taung South</t>
  </si>
  <si>
    <t>Kyet Mauk Taung Myuak</t>
  </si>
  <si>
    <t>Than Chay  RK</t>
  </si>
  <si>
    <t>Ah Lel Kyun</t>
  </si>
  <si>
    <t>Ah Lel</t>
  </si>
  <si>
    <t>Taung Bwe</t>
  </si>
  <si>
    <t>Daing Net</t>
  </si>
  <si>
    <t>Myaunk Ywa_M</t>
  </si>
  <si>
    <t>Rakhine/Dinet</t>
  </si>
  <si>
    <t>Tha Pon</t>
  </si>
  <si>
    <t>Muslim (Myaunk Ywa)</t>
  </si>
  <si>
    <t>Ba Gone Nar</t>
  </si>
  <si>
    <t>Thar Yar Koung</t>
  </si>
  <si>
    <t>Thet Kaing Ngyar (Thet Kaing Ngyar)</t>
  </si>
  <si>
    <t>Thet Kaing Ngyar (Thet Ywa)</t>
  </si>
  <si>
    <t>Kaung Maung Seik</t>
  </si>
  <si>
    <t>Ah Shey Kha Maung Seik</t>
  </si>
  <si>
    <t>NSS WASH cluster comment: camp closed by end of Mar'17. open status in July 31 CCCM camp list</t>
  </si>
  <si>
    <t>Man Kaung village</t>
  </si>
  <si>
    <t>NSS WASH Cluster comments:Metta distributed hygiene kit in Apr'17 but no assessment done for other WASH needs. Water supply and latrines shared with host families. Metta could cover latrine construction if needed.</t>
  </si>
  <si>
    <t>Nam Tu RC</t>
  </si>
  <si>
    <t xml:space="preserve">Shwe Myint Thar Monastery </t>
  </si>
  <si>
    <t>2/June/2017: Changed camp status as "Closed" according to UNHCR_Lashio information. IDPs are moved to Kyu Sot camp</t>
  </si>
  <si>
    <t>Village Type Camp</t>
  </si>
  <si>
    <t xml:space="preserve">Mungji Pa Dabang (Baptist Church)         </t>
  </si>
  <si>
    <t>27/Apr/2017: Changed camp status as "Closed", Data source: KBC.</t>
  </si>
  <si>
    <t>6/April/2017: New Added camp. Data source: UNOCHA, Partners and CCCM.</t>
  </si>
  <si>
    <t xml:space="preserve">Mungji Pa Dabang (RC Church)         </t>
  </si>
  <si>
    <t>NSS WASH Cluster comments:land space very limited for infra; IDPs stay with and share WASH facilities from host families.</t>
  </si>
  <si>
    <t>Mong Wee Ta'ang</t>
  </si>
  <si>
    <t>Nam Lim Pa</t>
  </si>
  <si>
    <t>Nam Lim Pa - Scattered IDPs in forest</t>
  </si>
  <si>
    <t>Man Wing Host Families</t>
  </si>
  <si>
    <t>Clutural Compound</t>
  </si>
  <si>
    <t>MWG -RC2</t>
  </si>
  <si>
    <t>Bang Lung</t>
  </si>
  <si>
    <t>Jaw 2</t>
  </si>
  <si>
    <t>NSS WASH Cluster comments: Metta distributed hygiene kit in Apr'17 but no assessment done for other WASH needs.</t>
  </si>
  <si>
    <t xml:space="preserve">Lagatyan </t>
  </si>
  <si>
    <t>Lung Kawk  ( Hka Hkye Zup)</t>
  </si>
  <si>
    <t>Howa</t>
  </si>
  <si>
    <t>Nam Hkyet</t>
  </si>
  <si>
    <t>Maing Khaung KBC 2</t>
  </si>
  <si>
    <t>SI did emergency response</t>
  </si>
  <si>
    <t>Bum Tsit Pa * (2)</t>
  </si>
  <si>
    <t>Muse KBC Church</t>
  </si>
  <si>
    <t>Muse RC Church</t>
  </si>
  <si>
    <t xml:space="preserve">Mung Baw </t>
  </si>
  <si>
    <t>Munekoe Pa (Giwang) - Hka San (Mung  Go  Pa )</t>
  </si>
  <si>
    <t xml:space="preserve">Munekoe Pa (Giwang) - Hka San (Mung  Go  Pa ) </t>
  </si>
  <si>
    <t>Mansi_Host Families</t>
  </si>
  <si>
    <t>Updated Date 11/7/17:Not known</t>
  </si>
  <si>
    <t>Mansi Host Families</t>
  </si>
  <si>
    <t>Man Kawng Baptist Church</t>
  </si>
  <si>
    <t>Camp close in CCCM list but WASH agencies presence</t>
  </si>
  <si>
    <t>Man Kawng Catholic Church</t>
  </si>
  <si>
    <t>Mung Ding Pa  (Boarder)</t>
  </si>
  <si>
    <t>Shwegu_Host Families</t>
  </si>
  <si>
    <t>Updated Date 11/7/17:Not known; Changed to Closed status in July 31 camp list,WC does not include in Q3 2017 report</t>
  </si>
  <si>
    <t>Momauk_Host Families</t>
  </si>
  <si>
    <t>Momauk Host Families</t>
  </si>
  <si>
    <t>Momauk Catholic Church (St. Patrick)</t>
  </si>
  <si>
    <t>Ni Thaw Ka Monestry</t>
  </si>
  <si>
    <t>Kannar Yeik Thar</t>
  </si>
  <si>
    <t>Bhamo_Host Families</t>
  </si>
  <si>
    <t>Updated Date 11/7/17:Not known and did not identify among WASH partners</t>
  </si>
  <si>
    <t>Ta Gun Taing Monastery (Shwe Kyi Na)</t>
  </si>
  <si>
    <t>Khun Sint Village</t>
  </si>
  <si>
    <t>Updated date 11/7/2017: Not known</t>
  </si>
  <si>
    <t xml:space="preserve">Myo Thit </t>
  </si>
  <si>
    <t>Updated Date 11/7/2017 : not known</t>
  </si>
  <si>
    <t xml:space="preserve">Man Nawng </t>
  </si>
  <si>
    <t>Updated Date 11/7/2017 : not known;Changed to Closed status in July 31 camp list,WC does not include in Q3 2017 report</t>
  </si>
  <si>
    <t xml:space="preserve">Mai Khat </t>
  </si>
  <si>
    <t>Updated Date 11/7/2017 : not known;Changed to Closed status in July 31 camp list, WC does not include in Q3 2017 report</t>
  </si>
  <si>
    <t xml:space="preserve">Tarli </t>
  </si>
  <si>
    <t>Dawthponeyan Boarding School</t>
  </si>
  <si>
    <t>Updated date 11/7/2017: already moved to other place;Changed to Closed status in July 31 camp list</t>
  </si>
  <si>
    <t xml:space="preserve">Phar Kay/Nant Waing </t>
  </si>
  <si>
    <t>Updated Date 11/7/2017 : not known;Changed to Closed status in July 31 camp list;Changed to Closed status in July 31 camp list,WC does not include in Q3 2017 report</t>
  </si>
  <si>
    <t>Laiza Market 3 - Laiza Gat</t>
  </si>
  <si>
    <t>Laiza Market 3 / Laiza Gat</t>
  </si>
  <si>
    <t>Boarding School</t>
  </si>
  <si>
    <t>Man Ting</t>
  </si>
  <si>
    <t>Updated Date 11/7/2017 : not known; Changed to Closed status in July 31 camp list,WC does not include in Q3 2017 report,WC does not include in Q3 2017 report</t>
  </si>
  <si>
    <t>Moenyin Host Families</t>
  </si>
  <si>
    <t>Updated date 11/7/2017: IDP families live in host community</t>
  </si>
  <si>
    <t>Village Type camp</t>
  </si>
  <si>
    <t>Pajau / Jan Mai</t>
  </si>
  <si>
    <t>Hopin Host Families</t>
  </si>
  <si>
    <t>Nant Mun</t>
  </si>
  <si>
    <t>Nawng Ing (Indawgyi) Baptist Church</t>
  </si>
  <si>
    <t>Zai Awng - Mung Ga Zup</t>
  </si>
  <si>
    <t>Zai Awng / Mung Ga Zup</t>
  </si>
  <si>
    <t>Laiza Muklum Hpyen  Yen Mungshawa ni</t>
  </si>
  <si>
    <t>Sar Hmaw - ICM</t>
  </si>
  <si>
    <t>intervention finished;Changed to Closed status in July 31 camp list</t>
  </si>
  <si>
    <t>Sar Maw-ICM</t>
  </si>
  <si>
    <t>Hka Shi</t>
  </si>
  <si>
    <t>2/June/2017: New added camp. Data source: WASH cluster, WV (World Vision). SI did emergency response</t>
  </si>
  <si>
    <t>Waingmaw Baptist Zonal Office</t>
  </si>
  <si>
    <t>intervention finished</t>
  </si>
  <si>
    <t>Wun Tho Buddhist Monastery</t>
  </si>
  <si>
    <t>Changed to Closed status in July 31 camp list</t>
  </si>
  <si>
    <t>Myay Myint Baptist Church</t>
  </si>
  <si>
    <t>Sadung</t>
  </si>
  <si>
    <t>Du Kahtawng Qtr. 14, 4 and 5 is combined into Du Kahtawng Baptist in 31st CCCM camp list</t>
  </si>
  <si>
    <t>Du Kahtawng Qtr. 4</t>
  </si>
  <si>
    <t>Du Kahtawng Qtr. 5</t>
  </si>
  <si>
    <t>Du Kahtawng Qtr. 14</t>
  </si>
  <si>
    <t>Tat Kone COC Baptist / Tat Kone Htoi San</t>
  </si>
  <si>
    <t>Ward 2 Cahotlic Church, Seik Mu</t>
  </si>
  <si>
    <t xml:space="preserve">Pan Wa (Saw Zam) camp </t>
  </si>
  <si>
    <t>5 Ward Baptist Church(lon Khin)</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</si>
  <si>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t>
  </si>
  <si>
    <t>Muring Baptist Church, Awng Ra, Wa Ra Zut VT</t>
  </si>
  <si>
    <t>Baptist Church, Sai Ra village</t>
  </si>
  <si>
    <t xml:space="preserve">Lan Jaw </t>
  </si>
  <si>
    <t>Updated date 11/7/1017:Not known and did not identify among WASH partners; Changed to Closed status in July 31 camp list,WC does not include in Q3 2017 report</t>
  </si>
  <si>
    <t>Baptist Church, Naung Hmee VT</t>
  </si>
  <si>
    <t>Ku Day Maw KBC</t>
  </si>
  <si>
    <t>Wara Zup KBC Church</t>
  </si>
  <si>
    <t>Updated date 11/7/2017: KBC has a plan to implement this location through ADRA; Changed to Closed status in July 31 camp list,WC does not include in Q3 2017 report</t>
  </si>
  <si>
    <t>A Lo Taw Pyae monastery</t>
  </si>
  <si>
    <t>Thar Ta Na Aung San monastery</t>
  </si>
  <si>
    <t>Updated date 11/7/2017: there is no camp</t>
  </si>
  <si>
    <t>Ndup Yang 1</t>
  </si>
  <si>
    <t>La Ja</t>
  </si>
  <si>
    <t>Khaunglanhpu</t>
  </si>
  <si>
    <t>Inn Lel Yan - Host Families</t>
  </si>
  <si>
    <t>Updated date 11/7/2017: KBC implement this camp since 2014 and some IDP families moved to other camps</t>
  </si>
  <si>
    <t>Naung Khaing</t>
  </si>
  <si>
    <t>Machanbaw - KBC</t>
  </si>
  <si>
    <t>Machanbaw</t>
  </si>
  <si>
    <t>Machanbaw-KBC</t>
  </si>
  <si>
    <t>Tote Tan Ward</t>
  </si>
  <si>
    <t>Updated date 11/7/2017: already moved to other place</t>
  </si>
  <si>
    <t>Lone Sut</t>
  </si>
  <si>
    <t>6/May/2017: New added camp. Data source: KBC. Camp was confirmed by CCCM unit. The missing informaiton will be updated as soon as possible.</t>
  </si>
  <si>
    <t>(Nam Hoi) Host families</t>
  </si>
  <si>
    <t>Namtu (Nam Hoi) Host families</t>
  </si>
  <si>
    <t>AD-2000 Extension camp</t>
  </si>
  <si>
    <t>camp</t>
  </si>
  <si>
    <t>AG Church Pa Ma Tee</t>
  </si>
  <si>
    <t>opening date: 16/8/17 and updated date in CCCM list: 31/8/17 ; New displacement from Ka Sung,not yet updated in Q3 4W</t>
  </si>
  <si>
    <t>not found in camp list. Partners said sub-camp of momauk baptist church</t>
  </si>
  <si>
    <t>Aung Thay Pyay (San Suri))</t>
  </si>
  <si>
    <t>Aung Zay Gone</t>
  </si>
  <si>
    <t>Baw Du Pha Village</t>
  </si>
  <si>
    <t>Bhamo Host Families</t>
  </si>
  <si>
    <t>not found in camp list</t>
  </si>
  <si>
    <t>Bum Tsit Pa * (3)</t>
  </si>
  <si>
    <t>Chin Ywar</t>
  </si>
  <si>
    <t>Chipwi (School coumpound)</t>
  </si>
  <si>
    <t>School</t>
  </si>
  <si>
    <t>Doke Htan Ward</t>
  </si>
  <si>
    <t>Hpaung Taw Pyin</t>
  </si>
  <si>
    <t>Ka Bu Dam CoC</t>
  </si>
  <si>
    <t>Opening date: 7/13/2017 and updated date in CCCM list: not yet updated in Q3 4W</t>
  </si>
  <si>
    <t>Kutkai (host High School)</t>
  </si>
  <si>
    <t>Opeing date: 1/6/2017 and updated date in CCCM list: 31/7/2017 ; 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t>
  </si>
  <si>
    <t>Lisu Baptist Church</t>
  </si>
  <si>
    <t>Loi Je Lisu (2) Camp</t>
  </si>
  <si>
    <t>Loi Je Lisu  (2) Camp</t>
  </si>
  <si>
    <t>Loi Je Lisu (3) Camp</t>
  </si>
  <si>
    <t>Loi Je Lisu  (3) Camp</t>
  </si>
  <si>
    <t>Loi Je Lisu (4) Camp</t>
  </si>
  <si>
    <t>Loi Je Lisu  (4) Camp</t>
  </si>
  <si>
    <t>Loi Je RC Boarding School</t>
  </si>
  <si>
    <t>Man Wing Baptist Church Boarding House</t>
  </si>
  <si>
    <t>Man wing gyi (host school)</t>
  </si>
  <si>
    <t>Mong Wee - Shan</t>
  </si>
  <si>
    <t>Muslim
 (Aley Ywa)</t>
  </si>
  <si>
    <t>Muslim
 (Taung Ywa)</t>
  </si>
  <si>
    <t>Muslim
 (Myaunk Ywa)</t>
  </si>
  <si>
    <t>Nam Hpak Ka (Man Mau host school)</t>
  </si>
  <si>
    <t>Nampaka (Man Mau host school)</t>
  </si>
  <si>
    <t>Namti</t>
  </si>
  <si>
    <t>opening date: 16/8/17 and updated date in CCCM list: 31/8/17 ; Displacement out of Ka Sung,not yet updated in Q3 4W</t>
  </si>
  <si>
    <t>Ndup Yang 2</t>
  </si>
  <si>
    <t>N-Lwe Yan</t>
  </si>
  <si>
    <t>Ohnmadee monastery</t>
  </si>
  <si>
    <t>Naung Cho</t>
  </si>
  <si>
    <t>Pa Kahtawng 1B</t>
  </si>
  <si>
    <t>Pa Kahtawng 2</t>
  </si>
  <si>
    <t xml:space="preserve">Pa Kahtawng Boarding High School </t>
  </si>
  <si>
    <t xml:space="preserve">Pa Kahtawng Boarding Middle School </t>
  </si>
  <si>
    <t>Pa Kahtawng Host Families</t>
  </si>
  <si>
    <t>Pa Kahtawng Primary House</t>
  </si>
  <si>
    <t>Paung Mae</t>
  </si>
  <si>
    <t>Rakhine Ywa_M</t>
  </si>
  <si>
    <t>6/June/2017: Added as new camp instead of Zai Awng - Mung Ga Zup camp because of the conflict on Dec, 2016. So IDPs ( from Zai Awng - Mung Ga Zup ) flew to Lung Byen. They stay awhile at Lung Byen and then they moved to Shait Yang on 17 Jan 2017. Changed the camp name as "Shait Yan</t>
  </si>
  <si>
    <t>Shwe Zin Khin (Ku Lar)</t>
  </si>
  <si>
    <t>Shwegu Host Families</t>
  </si>
  <si>
    <t>Tanai</t>
  </si>
  <si>
    <t>Opeing date: 1/6/2017 and updated date in CCCM list: 29/6/2017;not yet updated in Q3 4W</t>
  </si>
  <si>
    <t>Tanai CoC</t>
  </si>
  <si>
    <t>Opeing date: 1/6/2017 and updated date in CCCM list: 29/6/2017; not yet updated in Q3 4W</t>
  </si>
  <si>
    <t xml:space="preserve">Tanai RC Church - Kinsa Ra </t>
  </si>
  <si>
    <t>Tat Kone (Ra Da Kawng)</t>
  </si>
  <si>
    <t>Taung Oo Maw</t>
  </si>
  <si>
    <t>Thet Kel Pyin Village</t>
  </si>
  <si>
    <t>Thit Tone Na Gwa Sone (HlaeMro)</t>
  </si>
  <si>
    <t>Vote Par Yone monastery</t>
  </si>
  <si>
    <t>Kah Mee</t>
  </si>
  <si>
    <t>West</t>
  </si>
  <si>
    <t>CAMP</t>
  </si>
  <si>
    <t>Zupyan camp</t>
  </si>
  <si>
    <t>new camp added in 30/9/2017</t>
  </si>
  <si>
    <t>V6</t>
  </si>
  <si>
    <t>V19</t>
  </si>
  <si>
    <t>V24</t>
  </si>
  <si>
    <t>For Township dropdown</t>
  </si>
  <si>
    <t>Dropdown</t>
  </si>
  <si>
    <t>Wash focal point Agency</t>
  </si>
  <si>
    <t># work days (approx) lost in this site due to access restrictions</t>
  </si>
  <si>
    <t>WASH Committee part of camp management structures</t>
  </si>
  <si>
    <t>Primary Donor covering WASH activities at site</t>
  </si>
  <si>
    <t>Expected end of funding for WASH activties at site</t>
  </si>
  <si>
    <t xml:space="preserve">% of women on camp WASH committee </t>
  </si>
  <si>
    <t># Functioning protected open wells (without hand pump)</t>
  </si>
  <si>
    <t># functional wells/boreholes (with hand pump)</t>
  </si>
  <si>
    <t xml:space="preserve"># functional tapstands </t>
  </si>
  <si>
    <t>Litres/Day provided with Overhead or storage tank with reticulation/ Water  gravity system
based on SPHERE standard ( 15L/P/D : 8 hr tapstand open)</t>
  </si>
  <si>
    <t>% of E-Coli  Water quality test result
(@ water source or HH level)</t>
  </si>
  <si>
    <t xml:space="preserve"># water points managed by families or small group of families </t>
  </si>
  <si>
    <t># latrines functional &amp; appropriate</t>
  </si>
  <si>
    <t># Latrines requiring urgent desludging</t>
  </si>
  <si>
    <t xml:space="preserve"># Latrines managed by families or small group of families </t>
  </si>
  <si>
    <t>Is there an effective solid waste management system in place</t>
  </si>
  <si>
    <t>Does the camp have drainage of surface water</t>
  </si>
  <si>
    <t>% HHs with access to functional hand washing station  (communal or HHs level)</t>
  </si>
  <si>
    <t>Handwashing approch to camp - household, communal, or both?</t>
  </si>
  <si>
    <t xml:space="preserve"># of individual bathing spaces functional </t>
  </si>
  <si>
    <t xml:space="preserve"># Hygiene Promoters </t>
  </si>
  <si>
    <t xml:space="preserve">% of HHs with access to sufficient soap (250g/ person/month) </t>
  </si>
  <si>
    <t>State_list</t>
  </si>
  <si>
    <t>TSps</t>
  </si>
  <si>
    <t>ABCD</t>
  </si>
  <si>
    <t>Not_Functional</t>
  </si>
  <si>
    <t>ACF, CDN</t>
  </si>
  <si>
    <t>AusAid</t>
  </si>
  <si>
    <t>ACTED</t>
  </si>
  <si>
    <t>Arche nova</t>
  </si>
  <si>
    <t>CIDA</t>
  </si>
  <si>
    <t>DANIDA</t>
  </si>
  <si>
    <t>CARE, CDN</t>
  </si>
  <si>
    <t>DFAT</t>
  </si>
  <si>
    <t>CDN, MA_UK</t>
  </si>
  <si>
    <t>Cesvi</t>
  </si>
  <si>
    <t>Cesvi, SI</t>
  </si>
  <si>
    <t>CNN</t>
  </si>
  <si>
    <t>Nawngmun</t>
  </si>
  <si>
    <t>DRD</t>
  </si>
  <si>
    <t>IRC</t>
  </si>
  <si>
    <t>Tsawlaw</t>
  </si>
  <si>
    <t>KMSS, KBC-HDD-NSS</t>
  </si>
  <si>
    <t>FCA</t>
  </si>
  <si>
    <t>KMSS, Metta</t>
  </si>
  <si>
    <t>France</t>
  </si>
  <si>
    <t>KMSS, SCI</t>
  </si>
  <si>
    <t>KMSS, KBC</t>
  </si>
  <si>
    <t>Gwa</t>
  </si>
  <si>
    <t>HIDA</t>
  </si>
  <si>
    <t>MDCG</t>
  </si>
  <si>
    <t>Merlin</t>
  </si>
  <si>
    <t>Metta, ICRC</t>
  </si>
  <si>
    <t>OCHA</t>
  </si>
  <si>
    <t>Munaung</t>
  </si>
  <si>
    <t>Metta, KBC-HDD-NSS</t>
  </si>
  <si>
    <t>Metta, KBC-HDD-NSS, KMSS</t>
  </si>
  <si>
    <t>Metta, SI</t>
  </si>
  <si>
    <t>MSF</t>
  </si>
  <si>
    <t>Thandwe</t>
  </si>
  <si>
    <t>ICRC</t>
  </si>
  <si>
    <t>Toungup</t>
  </si>
  <si>
    <t>Myauk Ywa (Kyet Mauk Taung)</t>
  </si>
  <si>
    <t>Aik Chan (Ai' Chun)</t>
  </si>
  <si>
    <t>Oxfam, MA_UK</t>
  </si>
  <si>
    <t>Chinshwehaw Sub-township (Kokang SAZ)</t>
  </si>
  <si>
    <t>Oxfam, KMSS</t>
  </si>
  <si>
    <t>Hkun Mar (Hkwin Ma)</t>
  </si>
  <si>
    <t>PLAN</t>
  </si>
  <si>
    <t>Hopang</t>
  </si>
  <si>
    <t>Hsawng Hpa (Saun Pha)</t>
  </si>
  <si>
    <t>SCI, MA_UK</t>
  </si>
  <si>
    <t>SCI, KBC-HDD-NSS</t>
  </si>
  <si>
    <t>Ka Lawng Hpar</t>
  </si>
  <si>
    <t>SCI, KMSS</t>
  </si>
  <si>
    <t>Kawng Min Hsang</t>
  </si>
  <si>
    <t>Konkyan</t>
  </si>
  <si>
    <t>Konkyan (Kokang SAZ)</t>
  </si>
  <si>
    <t>SI, MA_UK</t>
  </si>
  <si>
    <t>Kunlong</t>
  </si>
  <si>
    <t>SI, KBC</t>
  </si>
  <si>
    <t>Unicef</t>
  </si>
  <si>
    <t>Kyaukme</t>
  </si>
  <si>
    <t>Lashio</t>
  </si>
  <si>
    <t>Laukkaing</t>
  </si>
  <si>
    <t>Laukkaing (Kokang SAZ)</t>
  </si>
  <si>
    <t>Lin Haw</t>
  </si>
  <si>
    <t>Long Htan</t>
  </si>
  <si>
    <t>Mabein</t>
  </si>
  <si>
    <t>Man Man Hseng</t>
  </si>
  <si>
    <t>Man Tun</t>
  </si>
  <si>
    <t>Matman</t>
  </si>
  <si>
    <t>Mongmao</t>
  </si>
  <si>
    <t>Mongmit</t>
  </si>
  <si>
    <t>Mongyai</t>
  </si>
  <si>
    <t>Nam Tit</t>
  </si>
  <si>
    <t>Namhsan</t>
  </si>
  <si>
    <t>Nar Kawng</t>
  </si>
  <si>
    <t>Nar Wee (Na Wi)</t>
  </si>
  <si>
    <t>Narphan</t>
  </si>
  <si>
    <t>Nawng Hkit</t>
  </si>
  <si>
    <t>Nawnghkio</t>
  </si>
  <si>
    <t>Pang Hkam</t>
  </si>
  <si>
    <t>Pang Yang</t>
  </si>
  <si>
    <t>Pangsang</t>
  </si>
  <si>
    <t>Pangwaun</t>
  </si>
  <si>
    <t>Tangyan</t>
  </si>
  <si>
    <t>Yawng Lin</t>
  </si>
  <si>
    <t>Yin Pang</t>
  </si>
  <si>
    <t>ANauk Ywa</t>
  </si>
  <si>
    <t>Myaunk Ywa</t>
  </si>
  <si>
    <t xml:space="preserve">Thet Kel Pyin </t>
  </si>
  <si>
    <t>AD-2000 Tharthana Compound*</t>
  </si>
  <si>
    <t>Phan Khar Kone*</t>
  </si>
  <si>
    <t>Robert Church*</t>
  </si>
  <si>
    <t>Pan Ku</t>
  </si>
  <si>
    <t>Bum Tsit Pa * (1)</t>
  </si>
  <si>
    <t>Lana Zup Ja *</t>
  </si>
  <si>
    <t>Maing Khaung Baptist Church</t>
  </si>
  <si>
    <t>Man Wing Baptist Church*</t>
  </si>
  <si>
    <t>Man Wing Catholic Church*</t>
  </si>
  <si>
    <t>Mansi Baptist Church*</t>
  </si>
  <si>
    <t xml:space="preserve">Nawng Ing (Indawgyi) Baptist Church  </t>
  </si>
  <si>
    <t>Loi Je Lisu  (1) Camp</t>
  </si>
  <si>
    <t xml:space="preserve">Loi Je Nyaung Na Pin </t>
  </si>
  <si>
    <t xml:space="preserve">Loi Je Seng Ja </t>
  </si>
  <si>
    <t>Pa Kahtawng 1 A</t>
  </si>
  <si>
    <t>Nam Hkawng/Manaung kaung</t>
  </si>
  <si>
    <t>Namtu Baptist</t>
  </si>
  <si>
    <t>Woi Chyai  host families</t>
  </si>
  <si>
    <t>Parameter/Assumptions</t>
  </si>
  <si>
    <t>V29</t>
  </si>
  <si>
    <t>V30</t>
  </si>
  <si>
    <t>V31</t>
  </si>
  <si>
    <t>V32</t>
  </si>
  <si>
    <t>V33</t>
  </si>
  <si>
    <t>V34</t>
  </si>
  <si>
    <t>V35</t>
  </si>
  <si>
    <t>V36</t>
  </si>
  <si>
    <t>V37</t>
  </si>
  <si>
    <t>V38</t>
  </si>
  <si>
    <t>HRP 1</t>
  </si>
  <si>
    <t>HRP 2</t>
  </si>
  <si>
    <t>Chauk Maing</t>
  </si>
  <si>
    <t>Pang Kawng</t>
  </si>
  <si>
    <t xml:space="preserve">Mai Ja Yang </t>
  </si>
  <si>
    <t xml:space="preserve">New Lana Zup Ja </t>
  </si>
  <si>
    <t>MMR015CMP237</t>
  </si>
  <si>
    <t>MMR015CMP241</t>
  </si>
  <si>
    <t>MMR015CMP242</t>
  </si>
  <si>
    <t>MMR001CMP215</t>
  </si>
  <si>
    <t>MMR001CMP216</t>
  </si>
  <si>
    <t>MMR001CMP214</t>
  </si>
  <si>
    <t>MMR001CMP153</t>
  </si>
  <si>
    <t>MMR001CMP046</t>
  </si>
  <si>
    <t>KMSS-MYT</t>
  </si>
  <si>
    <t>MMR015CMP236</t>
  </si>
  <si>
    <t>MMR015CMP233</t>
  </si>
  <si>
    <t>MMR001CMP147</t>
  </si>
  <si>
    <t>MMR001CMP146</t>
  </si>
  <si>
    <t>MMR015CMP232</t>
  </si>
  <si>
    <t>KMSS-LSO</t>
  </si>
  <si>
    <t>MMR015CMP222</t>
  </si>
  <si>
    <t>MMR001CMP136</t>
  </si>
  <si>
    <t>MMR015CMP002</t>
  </si>
  <si>
    <t>MMR015CMP139</t>
  </si>
  <si>
    <t>MMR001CMP209</t>
  </si>
  <si>
    <t>MMR015CMP238</t>
  </si>
  <si>
    <t>MMR015CMP230</t>
  </si>
  <si>
    <t>MMR015CMP231</t>
  </si>
  <si>
    <t>MMR015CMP229</t>
  </si>
  <si>
    <t>MMR001CMP219</t>
  </si>
  <si>
    <t>MMR015CMP239</t>
  </si>
  <si>
    <t>MMR001CMP211</t>
  </si>
  <si>
    <t>MMR015CMP243</t>
  </si>
  <si>
    <t>MMR012CMP037</t>
  </si>
  <si>
    <t>MMR012CMP038</t>
  </si>
  <si>
    <t>MMR012CMP036</t>
  </si>
  <si>
    <t>MMR012CMP035</t>
  </si>
  <si>
    <t>MMR012CMP014</t>
  </si>
  <si>
    <t>MMR012CMP013</t>
  </si>
  <si>
    <t>MMR012CMP019</t>
  </si>
  <si>
    <t>MMR012CMP096</t>
  </si>
  <si>
    <t>MMR012CMP017</t>
  </si>
  <si>
    <t>MMR012CMP018</t>
  </si>
  <si>
    <t>MMR012CMP016</t>
  </si>
  <si>
    <t>MMR012CMP039</t>
  </si>
  <si>
    <t>MMR012CMP056</t>
  </si>
  <si>
    <t>MMR012CMP105</t>
  </si>
  <si>
    <t>MMR012CMP111</t>
  </si>
  <si>
    <t>MMR012CMP112</t>
  </si>
  <si>
    <t>MMR012CMP057</t>
  </si>
  <si>
    <t>MMR012CMP093</t>
  </si>
  <si>
    <t>MMR012CMP047</t>
  </si>
  <si>
    <t>MMR012CMP046</t>
  </si>
  <si>
    <t>MMR012CMP097</t>
  </si>
  <si>
    <t>MMR012CMP041</t>
  </si>
  <si>
    <t>MMR012CMP015</t>
  </si>
  <si>
    <t>MMR012CMP113</t>
  </si>
  <si>
    <t>MMR012CMP048</t>
  </si>
  <si>
    <t>MMR012CMP040</t>
  </si>
  <si>
    <t>MMR012CMP114</t>
  </si>
  <si>
    <t>MMR012CMP091</t>
  </si>
  <si>
    <t>MMR012CMP042</t>
  </si>
  <si>
    <t>MMR012CMP103</t>
  </si>
  <si>
    <t>MMR012CMP116</t>
  </si>
  <si>
    <t>MMR012CMP092</t>
  </si>
  <si>
    <t>MMR012CMP115</t>
  </si>
  <si>
    <t>MMR012CMP045</t>
  </si>
  <si>
    <t>MMR012CMP098</t>
  </si>
  <si>
    <t>MMR012CMP031</t>
  </si>
  <si>
    <t>MMR012CMP001</t>
  </si>
  <si>
    <t>MMR012CMP002</t>
  </si>
  <si>
    <t>MMR012CMP003</t>
  </si>
  <si>
    <t>MMR012CMP032</t>
  </si>
  <si>
    <t>MMR012CMP008</t>
  </si>
  <si>
    <t>MMR012CMP033</t>
  </si>
  <si>
    <t>MMR012CMP104</t>
  </si>
  <si>
    <t>MMR012CMP110</t>
  </si>
  <si>
    <t>MMR012CMP006</t>
  </si>
  <si>
    <t>MMR012CMP117</t>
  </si>
  <si>
    <t>MMR012CMP010</t>
  </si>
  <si>
    <t>MMR012CMP034</t>
  </si>
  <si>
    <t>MMR012CMP009</t>
  </si>
  <si>
    <t>MMR012CMP005</t>
  </si>
  <si>
    <t>MMR012CMP012</t>
  </si>
  <si>
    <t>MMR012CMP026</t>
  </si>
  <si>
    <t>MMR012CMP027</t>
  </si>
  <si>
    <t>MMR012CMP109</t>
  </si>
  <si>
    <t>MMR012CMP088</t>
  </si>
  <si>
    <t>MMR012CMP024</t>
  </si>
  <si>
    <t>MMR012CMP028</t>
  </si>
  <si>
    <t>MMR012CMP029</t>
  </si>
  <si>
    <t>MMR012CMP020</t>
  </si>
  <si>
    <t>MMR012CMP084</t>
  </si>
  <si>
    <t>MMR012CMP086</t>
  </si>
  <si>
    <t>MMR012CMP082</t>
  </si>
  <si>
    <t>MMR012CMP085</t>
  </si>
  <si>
    <t>MMR012CMP083</t>
  </si>
  <si>
    <t>MMR012CMP095</t>
  </si>
  <si>
    <t>MMR012CMP023</t>
  </si>
  <si>
    <t>MMR012CMP030</t>
  </si>
  <si>
    <t>MMR012CMP025</t>
  </si>
  <si>
    <t>MMR012CMP022</t>
  </si>
  <si>
    <t>MMR012CMP021</t>
  </si>
  <si>
    <t>MMR012CMP094</t>
  </si>
  <si>
    <t>MMR015CMP244</t>
  </si>
  <si>
    <t>MMR015CMP221</t>
  </si>
  <si>
    <t>MMR015CMP210</t>
  </si>
  <si>
    <t>MMR015CMP014</t>
  </si>
  <si>
    <t>MMR015CMP248</t>
  </si>
  <si>
    <t>MMR015CMP228</t>
  </si>
  <si>
    <t>MMR015CMP209</t>
  </si>
  <si>
    <t>MMR015CMP009</t>
  </si>
  <si>
    <t>MMR015CMP226</t>
  </si>
  <si>
    <t>MMR015CMP218</t>
  </si>
  <si>
    <t>MMR015CMP207</t>
  </si>
  <si>
    <t>MMR015CMP020</t>
  </si>
  <si>
    <t>MMR015CMP006</t>
  </si>
  <si>
    <t>MMR015CMP015</t>
  </si>
  <si>
    <t>MMR015CMP219</t>
  </si>
  <si>
    <t>MMR015CMP016</t>
  </si>
  <si>
    <t>MMR015CMP245</t>
  </si>
  <si>
    <t>MMR015CMP017</t>
  </si>
  <si>
    <t>MMR015CMP217</t>
  </si>
  <si>
    <t>MMR015CMP018</t>
  </si>
  <si>
    <t>MMR015CMP220</t>
  </si>
  <si>
    <t>MMR015CMP224</t>
  </si>
  <si>
    <t>MMR015CMP223</t>
  </si>
  <si>
    <t>MMR015CMP225</t>
  </si>
  <si>
    <t>MMR015CMP007</t>
  </si>
  <si>
    <t>MMR001CMP204</t>
  </si>
  <si>
    <t>MMR001CMP137</t>
  </si>
  <si>
    <t>MMR015CMP004</t>
  </si>
  <si>
    <t>MMR001CMP134</t>
  </si>
  <si>
    <t>MMR015CMP003</t>
  </si>
  <si>
    <t>MMR015CMP001</t>
  </si>
  <si>
    <t>MMR001CMP230</t>
  </si>
  <si>
    <t>MMR001CMP133</t>
  </si>
  <si>
    <t>MMR001CMP228</t>
  </si>
  <si>
    <t>MMR001CMP132</t>
  </si>
  <si>
    <t>MMR015CMP215</t>
  </si>
  <si>
    <t>MMR015CMP214</t>
  </si>
  <si>
    <t>MMR015CMP227</t>
  </si>
  <si>
    <t>MMR001CMP202</t>
  </si>
  <si>
    <t>MMR001CMP135</t>
  </si>
  <si>
    <t>MMR015CMP010</t>
  </si>
  <si>
    <t>MMR001CMP218</t>
  </si>
  <si>
    <t>MMR001CMP223</t>
  </si>
  <si>
    <t>MMR015CMP011</t>
  </si>
  <si>
    <t>Camp_not registered</t>
  </si>
  <si>
    <t>MMR001CMP226</t>
  </si>
  <si>
    <t>MMR001CMP129</t>
  </si>
  <si>
    <t>MMR015CMP213</t>
  </si>
  <si>
    <t>MMR015CMP216</t>
  </si>
  <si>
    <t>MMR015CMP005</t>
  </si>
  <si>
    <t>MMR001CMP128</t>
  </si>
  <si>
    <t>MMR015CMP022</t>
  </si>
  <si>
    <t>MMR015CMP012</t>
  </si>
  <si>
    <t>MMR001CMP196</t>
  </si>
  <si>
    <t>MMR001CMP066</t>
  </si>
  <si>
    <t>MMR001CMP212</t>
  </si>
  <si>
    <t>MMR001CMP213</t>
  </si>
  <si>
    <t>MMR001CMP067</t>
  </si>
  <si>
    <t>MMR001CMP068</t>
  </si>
  <si>
    <t>MMR001CMP070</t>
  </si>
  <si>
    <t>MMR001CMP071</t>
  </si>
  <si>
    <t>MMR001CMP069</t>
  </si>
  <si>
    <t>MMR001CMP072</t>
  </si>
  <si>
    <t>MMR001CMP203</t>
  </si>
  <si>
    <t>MMR001CMP073</t>
  </si>
  <si>
    <t>MMR001CMP193</t>
  </si>
  <si>
    <t>MMR001CMP199</t>
  </si>
  <si>
    <t>MMR001CMP062</t>
  </si>
  <si>
    <t>MMR001CMP052</t>
  </si>
  <si>
    <t>MMR001CMP053</t>
  </si>
  <si>
    <t>MMR001CMP056</t>
  </si>
  <si>
    <t>MMR001CMP197</t>
  </si>
  <si>
    <t>MMR001CMP057</t>
  </si>
  <si>
    <t>MMR001CMP058</t>
  </si>
  <si>
    <t>MMR001CMP051</t>
  </si>
  <si>
    <t>MMR001CMP059</t>
  </si>
  <si>
    <t>MMR001CMP194</t>
  </si>
  <si>
    <t>MMR001CMP050</t>
  </si>
  <si>
    <t>MMR001CMP048</t>
  </si>
  <si>
    <t>MMR001CMP049</t>
  </si>
  <si>
    <t>MMR001CMP163</t>
  </si>
  <si>
    <t>MMR001CMP047</t>
  </si>
  <si>
    <t>MMR001CMP126</t>
  </si>
  <si>
    <t>MMR001CMP055</t>
  </si>
  <si>
    <t>MMR001CMP054</t>
  </si>
  <si>
    <t>MMR001CMP200</t>
  </si>
  <si>
    <t>MMR001CMP131</t>
  </si>
  <si>
    <t>MMR001CMP061</t>
  </si>
  <si>
    <t>MMR001CMP063</t>
  </si>
  <si>
    <t>MMR001CMP064</t>
  </si>
  <si>
    <t>MMR001CMP123</t>
  </si>
  <si>
    <t>MMR001CMP060</t>
  </si>
  <si>
    <t>MMR001CMP240</t>
  </si>
  <si>
    <t>MMR001CMP065</t>
  </si>
  <si>
    <t>MMR001CMP122</t>
  </si>
  <si>
    <t>MMR001CMP121</t>
  </si>
  <si>
    <t>MMR001CMP117</t>
  </si>
  <si>
    <t>MMR001CMP208</t>
  </si>
  <si>
    <t>MMR001CMP116</t>
  </si>
  <si>
    <t>MMR001CMP198</t>
  </si>
  <si>
    <t>MMR001CMP080</t>
  </si>
  <si>
    <t>MMR001CMP233</t>
  </si>
  <si>
    <t>MMR001CMP120</t>
  </si>
  <si>
    <t>MMR001CMP119</t>
  </si>
  <si>
    <t>MMR001CMP232</t>
  </si>
  <si>
    <t>MMR001CMP081</t>
  </si>
  <si>
    <t>MMR001CMP152</t>
  </si>
  <si>
    <t>MMR001CMP111</t>
  </si>
  <si>
    <t>MMR001CMP149</t>
  </si>
  <si>
    <t>MMR001CMP115</t>
  </si>
  <si>
    <t>MMR001CMP113</t>
  </si>
  <si>
    <t>MMR001CMP235</t>
  </si>
  <si>
    <t>MMR001CMP236</t>
  </si>
  <si>
    <t>MMR001CMP160</t>
  </si>
  <si>
    <t>MMR001CMP077</t>
  </si>
  <si>
    <t>MMR001CMP237</t>
  </si>
  <si>
    <t>MMR001CMP079</t>
  </si>
  <si>
    <t>MMR001CMP248</t>
  </si>
  <si>
    <t>MMR001CMP078</t>
  </si>
  <si>
    <t>MMR001CMP028</t>
  </si>
  <si>
    <t>MMR001CMP037</t>
  </si>
  <si>
    <t>MMR001CMP030</t>
  </si>
  <si>
    <t>MMR001CMP026</t>
  </si>
  <si>
    <t>MMR001CMP014</t>
  </si>
  <si>
    <t>MMR001CMP038</t>
  </si>
  <si>
    <t>MMR001CMP025</t>
  </si>
  <si>
    <t>MMR001CMP033</t>
  </si>
  <si>
    <t>MMR001CMP032</t>
  </si>
  <si>
    <t>MMR001CMP036</t>
  </si>
  <si>
    <t>MMR001CMP027</t>
  </si>
  <si>
    <t>MMR001CMP016</t>
  </si>
  <si>
    <t>MMR001CMP015</t>
  </si>
  <si>
    <t>MMR001CMP013</t>
  </si>
  <si>
    <t>MMR001CMP021</t>
  </si>
  <si>
    <t>MMR001CMP020</t>
  </si>
  <si>
    <t>MMR001CMP022</t>
  </si>
  <si>
    <t>MMR001CMP017</t>
  </si>
  <si>
    <t>MMR001CMP010</t>
  </si>
  <si>
    <t>MMR001CMP011</t>
  </si>
  <si>
    <t>MMR001CMP012</t>
  </si>
  <si>
    <t>MMR001CMP019</t>
  </si>
  <si>
    <t>MMR001CMP018</t>
  </si>
  <si>
    <t>MMR001CMP005</t>
  </si>
  <si>
    <t>MMR001CMP003</t>
  </si>
  <si>
    <t>MMR001CMP039</t>
  </si>
  <si>
    <t>MMR001CMP024</t>
  </si>
  <si>
    <t>MMR001CMP040</t>
  </si>
  <si>
    <t>MMR001CMP006</t>
  </si>
  <si>
    <t>MMR001CMP001</t>
  </si>
  <si>
    <t>MMR001CMP029</t>
  </si>
  <si>
    <t>MMR001CMP004</t>
  </si>
  <si>
    <t>MMR001CMP041</t>
  </si>
  <si>
    <t>MMR001CMP002</t>
  </si>
  <si>
    <t>MMR001CMP023</t>
  </si>
  <si>
    <t>MMR001CMP007</t>
  </si>
  <si>
    <t>MMR001CMP031</t>
  </si>
  <si>
    <t>MMR001CMP008</t>
  </si>
  <si>
    <t>MMR001CMP009</t>
  </si>
  <si>
    <t>MMR001CMP162</t>
  </si>
  <si>
    <t>MMR001CMP148</t>
  </si>
  <si>
    <t>MMR001CMP182</t>
  </si>
  <si>
    <t>MMR001CMP181</t>
  </si>
  <si>
    <t>MMR001CMP184</t>
  </si>
  <si>
    <t>MMR001CMP185</t>
  </si>
  <si>
    <t>MMR001CMP109</t>
  </si>
  <si>
    <t>MMR001CMP105</t>
  </si>
  <si>
    <t>MMR001CMP210</t>
  </si>
  <si>
    <t>MMR001CMP229</t>
  </si>
  <si>
    <t>MMR001CMP103</t>
  </si>
  <si>
    <t>MMR001CMP091</t>
  </si>
  <si>
    <t>MMR001CMP191</t>
  </si>
  <si>
    <t>MMR001CMP190</t>
  </si>
  <si>
    <t>MMR001CMP192</t>
  </si>
  <si>
    <t>MMR001CMP167</t>
  </si>
  <si>
    <t>MMR001CMP176</t>
  </si>
  <si>
    <t>MMR001CMP174</t>
  </si>
  <si>
    <t>MMR001CMP225</t>
  </si>
  <si>
    <t>MMR001CMP169</t>
  </si>
  <si>
    <t>MMR001CMP168</t>
  </si>
  <si>
    <t>MMR001CMP179</t>
  </si>
  <si>
    <t>MMR001CMP177</t>
  </si>
  <si>
    <t>MMR001CMP183</t>
  </si>
  <si>
    <t>MMR001CMP172</t>
  </si>
  <si>
    <t>MMR001CMP045</t>
  </si>
  <si>
    <t>MMR001CMP188</t>
  </si>
  <si>
    <t>MMR001CMP043</t>
  </si>
  <si>
    <t>MMR001CMP231</t>
  </si>
  <si>
    <t>MMR001CMP242</t>
  </si>
  <si>
    <t>MMR001CMP195</t>
  </si>
  <si>
    <t>MMR001CMP042</t>
  </si>
  <si>
    <t>MMR001CMP243</t>
  </si>
  <si>
    <t>MMR001CMP247</t>
  </si>
  <si>
    <t>MMR001CMP244</t>
  </si>
  <si>
    <t>MMR001CMP246</t>
  </si>
  <si>
    <t>MMR001CMP245</t>
  </si>
  <si>
    <t>MMR001CMP206</t>
  </si>
  <si>
    <t>MMR001CMP239</t>
  </si>
  <si>
    <t>MMR001CMP238</t>
  </si>
  <si>
    <t>MMR001CMP074</t>
  </si>
  <si>
    <t>MMR001CMP227</t>
  </si>
  <si>
    <t>MMR001CMP220</t>
  </si>
  <si>
    <t>MMR001CMP221</t>
  </si>
  <si>
    <t>MMR001CMP075</t>
  </si>
  <si>
    <t>MMR001CMP234</t>
  </si>
  <si>
    <t>MMR015CMP247</t>
  </si>
  <si>
    <t>MMR001CMP250</t>
  </si>
  <si>
    <t>MMR015CMP246</t>
  </si>
  <si>
    <t>MMR001CMP249</t>
  </si>
  <si>
    <t>MMR001CMP252</t>
  </si>
  <si>
    <t>MMR001CMP254</t>
  </si>
  <si>
    <t>MMR001CMP253</t>
  </si>
  <si>
    <t>MMR001CMP251</t>
  </si>
  <si>
    <t>HRP 3</t>
  </si>
  <si>
    <t># HH received Sanitary Pads</t>
  </si>
  <si>
    <t># HH received soaps</t>
  </si>
  <si>
    <t>#Water points coverage</t>
  </si>
  <si>
    <t>#Potential required new water points</t>
  </si>
  <si>
    <t>Hygiene Coverage%</t>
  </si>
  <si>
    <t>Hygiene Gap%</t>
  </si>
  <si>
    <t>%people reached by regular dedicated hygiene promotion</t>
  </si>
  <si>
    <t>%HH with access to soap</t>
  </si>
  <si>
    <t>Standard amount of Soap and sanitary pad</t>
  </si>
  <si>
    <t>#People access to unimproved water sources</t>
  </si>
  <si>
    <t>Row Labels</t>
  </si>
  <si>
    <t>(Multiple Items)</t>
  </si>
  <si>
    <t>Grand Total</t>
  </si>
  <si>
    <t>Indicators</t>
  </si>
  <si>
    <t>State/Region</t>
  </si>
  <si>
    <t xml:space="preserve"> In Need</t>
  </si>
  <si>
    <t>Overall reached</t>
  </si>
  <si>
    <t>Male 
(est 45%)</t>
  </si>
  <si>
    <t>Female 
(est 55%)</t>
  </si>
  <si>
    <t xml:space="preserve"> Children (&lt;18 yrs)
(est 35%)</t>
  </si>
  <si>
    <t xml:space="preserve"> Adult (18-59 yrs)
(est 40%)</t>
  </si>
  <si>
    <t xml:space="preserve"> Elderly (&gt;59 yrs)
(est 25%)</t>
  </si>
  <si>
    <t>Coverage</t>
  </si>
  <si>
    <t>Gap</t>
  </si>
  <si>
    <t>Number of people with equitable and safe access to sufficient quantity of drinking water</t>
  </si>
  <si>
    <t>Number of people with equitable and safe access to sufficient quantity of domestic water</t>
  </si>
  <si>
    <t>Number of people who received regular supply of hygiene items</t>
  </si>
  <si>
    <t>Number of people with access to continuous sanitation services</t>
  </si>
  <si>
    <t>Robert -Middle school</t>
  </si>
  <si>
    <t>Target</t>
  </si>
  <si>
    <t>SCI, ADRA/CANADA</t>
  </si>
  <si>
    <t>Total Population reached</t>
  </si>
  <si>
    <t>Overall HRP Target</t>
  </si>
  <si>
    <t>open in cccm?</t>
  </si>
  <si>
    <t>Vtract</t>
  </si>
  <si>
    <t>VillageWard</t>
  </si>
  <si>
    <t>not in cccm2018Mar</t>
  </si>
  <si>
    <t>closed_cccm2018Mar</t>
  </si>
  <si>
    <t>Man Nway (Pang Hseng (Kyu Koke)) Sub-township</t>
  </si>
  <si>
    <t>Nam Hkawng Khu</t>
  </si>
  <si>
    <t>Kha Maung Chi Taing</t>
  </si>
  <si>
    <t>No (6) Ward</t>
  </si>
  <si>
    <t>Kha Maung Chay Taing</t>
  </si>
  <si>
    <t>Khaung Doke Kar</t>
  </si>
  <si>
    <t>Aung Daing</t>
  </si>
  <si>
    <t>Hpwe Ywar Kone</t>
  </si>
  <si>
    <t>(Du) Chee Yar Tan</t>
  </si>
  <si>
    <t>King Chaung(No standard name yet)</t>
  </si>
  <si>
    <t>Kawng Wein</t>
  </si>
  <si>
    <t>Kar Lai Kone Hsar</t>
  </si>
  <si>
    <t>Kar Lai</t>
  </si>
  <si>
    <t>Momauk Town</t>
  </si>
  <si>
    <t>Ah Lin Kawng Ward</t>
  </si>
  <si>
    <t>Seik Mu</t>
  </si>
  <si>
    <t>Maw Shan</t>
  </si>
  <si>
    <t>Muse Town</t>
  </si>
  <si>
    <t>Swei Taw Ward</t>
  </si>
  <si>
    <t>Ho Mun Ward</t>
  </si>
  <si>
    <t>Man Wein</t>
  </si>
  <si>
    <t>Nawng Hkam</t>
  </si>
  <si>
    <t>Nam Lin Pa</t>
  </si>
  <si>
    <t>Nam Pang</t>
  </si>
  <si>
    <t>Nam Hkon</t>
  </si>
  <si>
    <t>Namtu Town</t>
  </si>
  <si>
    <t>Namtu Ward</t>
  </si>
  <si>
    <t>Sin Tet Maw (Ku Lar)</t>
  </si>
  <si>
    <t>Urban</t>
  </si>
  <si>
    <t>Sut Yoe Kya Ward</t>
  </si>
  <si>
    <t>Ywar Gyi (North) Ward</t>
  </si>
  <si>
    <t>Baw Du Hpa</t>
  </si>
  <si>
    <t>Mong Wee</t>
  </si>
  <si>
    <t>Man Mawn</t>
  </si>
  <si>
    <t>La Gat Dawt</t>
  </si>
  <si>
    <t>Man Pying (Pang Hseng (Kyu Koke)) Sub-township</t>
  </si>
  <si>
    <t>Hawwa</t>
  </si>
  <si>
    <t>Mone Paw Nam Chet (Zay) (Pang Hseng (Kyu Koke)) Sub-township</t>
  </si>
  <si>
    <t>Mone Paw Nam Chet</t>
  </si>
  <si>
    <t>Dum Buk</t>
  </si>
  <si>
    <t>Mai Bat</t>
  </si>
  <si>
    <t>Man Kawng</t>
  </si>
  <si>
    <t>Mung Ding Pa</t>
  </si>
  <si>
    <t>Kyay Nan Waing Ward</t>
  </si>
  <si>
    <t>Man Nawng</t>
  </si>
  <si>
    <t>Maing Khat</t>
  </si>
  <si>
    <t>Tar Li</t>
  </si>
  <si>
    <t>Dawthponeyan  Town</t>
  </si>
  <si>
    <t>No (2) Ward</t>
  </si>
  <si>
    <t>Hpar Kei (Dawthponeyan Sub-township)</t>
  </si>
  <si>
    <t>Hpar Kei</t>
  </si>
  <si>
    <t>Nam Sang Yang</t>
  </si>
  <si>
    <t>Man Ping (Ping) (Dawthponeyan Sub-township)</t>
  </si>
  <si>
    <t>Man Ping</t>
  </si>
  <si>
    <t>Nam Mun</t>
  </si>
  <si>
    <t>Hpawt Dawt</t>
  </si>
  <si>
    <t>Mon Gar Zut</t>
  </si>
  <si>
    <t>Sar Hmaw</t>
  </si>
  <si>
    <t>Waingmaw Town</t>
  </si>
  <si>
    <t>Myitkyina Town</t>
  </si>
  <si>
    <t>Kachin Su Ward</t>
  </si>
  <si>
    <t>Myay Myint Ward</t>
  </si>
  <si>
    <t>Lone Khin</t>
  </si>
  <si>
    <t>Ma Sut Yang</t>
  </si>
  <si>
    <t>Lang Jaw (Pang War Sub-township)</t>
  </si>
  <si>
    <t>Lang Jaw</t>
  </si>
  <si>
    <t>Nawng Mi</t>
  </si>
  <si>
    <t>Nawng Myi</t>
  </si>
  <si>
    <t>Ku Day</t>
  </si>
  <si>
    <t>Wa Ra Zut</t>
  </si>
  <si>
    <t>Shar Du Zut</t>
  </si>
  <si>
    <t>La Ja Ga</t>
  </si>
  <si>
    <t>Lang Taung</t>
  </si>
  <si>
    <t>Nawng Hkaing</t>
  </si>
  <si>
    <t>Pa Ma Tee</t>
  </si>
  <si>
    <t>Mogaung Town</t>
  </si>
  <si>
    <t>cccm_2018March</t>
  </si>
  <si>
    <t>Taung Yin</t>
  </si>
  <si>
    <t>Gone Chein</t>
  </si>
  <si>
    <t>Say Poke Kay</t>
  </si>
  <si>
    <t>Kan Thar Htwet Wa Ward</t>
  </si>
  <si>
    <t>Pon Nar Gyi</t>
  </si>
  <si>
    <t>Cha Eik</t>
  </si>
  <si>
    <t>San Pya Ward</t>
  </si>
  <si>
    <t>Ah Nauk San Pya Ward</t>
  </si>
  <si>
    <t>Dar Paing Ywar Thit</t>
  </si>
  <si>
    <t>Kha War De Ywar Haung</t>
  </si>
  <si>
    <t>Say Tha Mar</t>
  </si>
  <si>
    <t>Kin Seik</t>
  </si>
  <si>
    <t>Thar Dar</t>
  </si>
  <si>
    <t>Tha Yet Oke</t>
  </si>
  <si>
    <t>Goke Pi Htaunt (Ku Lar)</t>
  </si>
  <si>
    <t>Sin Oe Chaing</t>
  </si>
  <si>
    <t>Shwe Hlaing Ku Lar</t>
  </si>
  <si>
    <t>Hpa Yar Paung</t>
  </si>
  <si>
    <t>Myo Ma (East) Ward</t>
  </si>
  <si>
    <t>Wa Kin</t>
  </si>
  <si>
    <t>Khaung Toke</t>
  </si>
  <si>
    <t>Khaung Toke (Ku Lar)</t>
  </si>
  <si>
    <t>Moe Tay</t>
  </si>
  <si>
    <t>Nawng Tha Kyar</t>
  </si>
  <si>
    <t>Pang Long</t>
  </si>
  <si>
    <t>Pang Tha Pyay</t>
  </si>
  <si>
    <t>Nar Tee</t>
  </si>
  <si>
    <t>Kutkai Town</t>
  </si>
  <si>
    <t>No (5) Ward</t>
  </si>
  <si>
    <t>No (3) Ward</t>
  </si>
  <si>
    <t>Long Waun Nam Rein (Tarmoenye Sub-township)</t>
  </si>
  <si>
    <t>Mai Pong (Shu See)</t>
  </si>
  <si>
    <t>Mong Yu</t>
  </si>
  <si>
    <t>Nam Hpat Kar</t>
  </si>
  <si>
    <t>Nam Hpat Kar (Ho Pon + Pang Sa Lorp)</t>
  </si>
  <si>
    <t>Ho Nar</t>
  </si>
  <si>
    <t>Mung Hawm</t>
  </si>
  <si>
    <t xml:space="preserve">Htoi San Yang </t>
  </si>
  <si>
    <t>Mansi Town</t>
  </si>
  <si>
    <t>Kawng Yar Ward</t>
  </si>
  <si>
    <t>Shwegu Town</t>
  </si>
  <si>
    <t>Lwegel Town</t>
  </si>
  <si>
    <t>Aung Zay Yar Ward</t>
  </si>
  <si>
    <t>Aung Chan Thar Ward</t>
  </si>
  <si>
    <t>Saing Gyar Ward</t>
  </si>
  <si>
    <t>Han Te</t>
  </si>
  <si>
    <t>Hpan Hkar Kone</t>
  </si>
  <si>
    <t>Man Pon</t>
  </si>
  <si>
    <t>Bhamo Town</t>
  </si>
  <si>
    <t>Pauk Kone Ward</t>
  </si>
  <si>
    <t>Aung Thar</t>
  </si>
  <si>
    <t>Moe Hping</t>
  </si>
  <si>
    <t>Nyaung Pin Ward</t>
  </si>
  <si>
    <t>Kawng Hsa (Lwegel Sub-township)</t>
  </si>
  <si>
    <t>Mai Gyar Yang</t>
  </si>
  <si>
    <t>Nam Hlaing</t>
  </si>
  <si>
    <t>Ba Lawng Kawng (Lwegel Sub-township)</t>
  </si>
  <si>
    <t>Hpa Lum</t>
  </si>
  <si>
    <t>Zee Wone Gawt</t>
  </si>
  <si>
    <t>Dum Bung</t>
  </si>
  <si>
    <t>In Baw Mai Kyin (Dawthponeyan Sub-township)</t>
  </si>
  <si>
    <t>Hpun Lum Yang</t>
  </si>
  <si>
    <t>Mohnyin Town</t>
  </si>
  <si>
    <t>Aung Tha Pyay Ward</t>
  </si>
  <si>
    <t>Sa Ma</t>
  </si>
  <si>
    <t>Par Jaung</t>
  </si>
  <si>
    <t>Nar Gu</t>
  </si>
  <si>
    <t>Saga Pa</t>
  </si>
  <si>
    <t>Hkau Shau</t>
  </si>
  <si>
    <t>Saga Pa (Sadung Sub-township)</t>
  </si>
  <si>
    <t>Nawng Kaing Htaw</t>
  </si>
  <si>
    <t>Ma Haung</t>
  </si>
  <si>
    <t>Nat Gyi Kone Ward</t>
  </si>
  <si>
    <t>Kyun Taw Ward</t>
  </si>
  <si>
    <t>Hkat Shu</t>
  </si>
  <si>
    <t>No (4) Ward</t>
  </si>
  <si>
    <t>Lel Kone Ward</t>
  </si>
  <si>
    <t>Ma Hkan Tee</t>
  </si>
  <si>
    <t>Nawng Hee</t>
  </si>
  <si>
    <t>Mading</t>
  </si>
  <si>
    <t>Mading/Hka Kun</t>
  </si>
  <si>
    <t>Maliyang Ward</t>
  </si>
  <si>
    <t>Kyun Pin Thar Ward</t>
  </si>
  <si>
    <t>Maw Hpawng</t>
  </si>
  <si>
    <t>Du Ka Htaung Ward</t>
  </si>
  <si>
    <t>Jan Mai Kawng</t>
  </si>
  <si>
    <t>Tat Kone Ward</t>
  </si>
  <si>
    <t>Mai Na</t>
  </si>
  <si>
    <t>Nam Koi</t>
  </si>
  <si>
    <t>Si Tar Pu Ward</t>
  </si>
  <si>
    <t>Waw Shung (Kan Paik Ti Sub-township)</t>
  </si>
  <si>
    <t>Shan Kyaing</t>
  </si>
  <si>
    <t>N Jang Dung</t>
  </si>
  <si>
    <t>Man Khein Ward</t>
  </si>
  <si>
    <t>Shwe Set Ward</t>
  </si>
  <si>
    <t>Pa La Na Sa Khan Myar</t>
  </si>
  <si>
    <t>Pi Tauk Myaing</t>
  </si>
  <si>
    <t>Nam Si In (Karmaing Sub-township)</t>
  </si>
  <si>
    <t>Htwe San Yang</t>
  </si>
  <si>
    <t>Sai Taung (Ywar Haung)</t>
  </si>
  <si>
    <t>Nam Ma Hpyit</t>
  </si>
  <si>
    <t>Pang War Town</t>
  </si>
  <si>
    <t>Hpakan Town</t>
  </si>
  <si>
    <t>Maw Wam Ward</t>
  </si>
  <si>
    <t>Nyein Chan Thar Yar</t>
  </si>
  <si>
    <t>Hmaw Si Zar</t>
  </si>
  <si>
    <t>Hpa Re (Pang War Sub-township)</t>
  </si>
  <si>
    <t>Hpa Re Waw Jang</t>
  </si>
  <si>
    <t>Rit Law</t>
  </si>
  <si>
    <t>Chipwi Town</t>
  </si>
  <si>
    <t>Ba Leit Dan Ward</t>
  </si>
  <si>
    <t>Puta-O Town</t>
  </si>
  <si>
    <t>Lone Sut Ward</t>
  </si>
  <si>
    <t>Hpai Kawng (Pang Hseng-Kyu Koke Sub-township</t>
  </si>
  <si>
    <t>Lel Pyin</t>
  </si>
  <si>
    <t>Kawng Hkar Man Pying</t>
  </si>
  <si>
    <t>Ba Wan Chaung Wa Su Ward</t>
  </si>
  <si>
    <t>San Bar Lay</t>
  </si>
  <si>
    <t>Zi War</t>
  </si>
  <si>
    <t>Na Yan</t>
  </si>
  <si>
    <t>Sat Yon Maw (Ku Lar)</t>
  </si>
  <si>
    <t>Oke Kar Kyaw</t>
  </si>
  <si>
    <t>Yin Thei</t>
  </si>
  <si>
    <t>Pu Rein</t>
  </si>
  <si>
    <t>Raw Ma Ni</t>
  </si>
  <si>
    <t>Ah Lel Kyun Ku Lar</t>
  </si>
  <si>
    <t>Ya Da Nar Pon</t>
  </si>
  <si>
    <t>Ku Lar Taung Bway</t>
  </si>
  <si>
    <t>Shwe Kyee Nar Ward</t>
  </si>
  <si>
    <t>Myo Thit</t>
  </si>
  <si>
    <t>Khon Sint</t>
  </si>
  <si>
    <t>Hopin Town</t>
  </si>
  <si>
    <t>Myo Ma (South) Ward</t>
  </si>
  <si>
    <t>Moke Lwe</t>
  </si>
  <si>
    <t>Khar Shi</t>
  </si>
  <si>
    <t>Sumprabum Town</t>
  </si>
  <si>
    <t>Inn Lel Yan</t>
  </si>
  <si>
    <t>Doke Tan Ward</t>
  </si>
  <si>
    <t>Ka Bu Dam</t>
  </si>
  <si>
    <t>Set Yon Su Ward</t>
  </si>
  <si>
    <t>Individual House</t>
  </si>
  <si>
    <t>added by WASHcluster</t>
  </si>
  <si>
    <t>Ei Naing</t>
  </si>
  <si>
    <t>Zaw  Pu Gyar</t>
  </si>
  <si>
    <t>Daung Puauk Kay</t>
  </si>
  <si>
    <t>Nga Pun Ywar  Shee</t>
  </si>
  <si>
    <t>Bar Sa Ra Host</t>
  </si>
  <si>
    <t xml:space="preserve">Me La Zi Kone </t>
  </si>
  <si>
    <t>Bumtsit Pa (1,2,3)</t>
  </si>
  <si>
    <t>Bum Tsit Pa 3</t>
  </si>
  <si>
    <t>SCI/FFO</t>
  </si>
  <si>
    <t>Assume 5 people per hh. 100 hh per Hygiene promoters. So, 500 people per hygiene promotor</t>
  </si>
  <si>
    <t>(All)</t>
  </si>
  <si>
    <t>Gap%</t>
  </si>
  <si>
    <t>Column Labels</t>
  </si>
  <si>
    <t>Values</t>
  </si>
  <si>
    <t>Count of Site Name</t>
  </si>
  <si>
    <t>Access to unimproved water points</t>
  </si>
  <si>
    <t>Sum of Total HH</t>
  </si>
  <si>
    <t>#HH reached by regular dedicated hygiene promotion</t>
  </si>
  <si>
    <t xml:space="preserve">PoP </t>
  </si>
  <si>
    <t>none</t>
  </si>
  <si>
    <t>Coverage%</t>
  </si>
  <si>
    <t>Total population</t>
  </si>
  <si>
    <t>Total</t>
  </si>
  <si>
    <t>Bum Tsit Pa</t>
  </si>
  <si>
    <t>Bum Tsit Pa Camp II</t>
  </si>
  <si>
    <t>MMR015CMP249</t>
  </si>
  <si>
    <t>Change camp to village</t>
  </si>
  <si>
    <t>Set Yone Su 3 (Mingan)</t>
  </si>
  <si>
    <t>Nga Kyi Tauk Daing Nat</t>
  </si>
  <si>
    <t>Ka Nyin</t>
  </si>
  <si>
    <t>Min Ga Lar Gyi</t>
  </si>
  <si>
    <t>Paung Zar</t>
  </si>
  <si>
    <t>Ywet Nyo Taung ( Rakhine)</t>
  </si>
  <si>
    <t>Q1_2018</t>
  </si>
  <si>
    <t>Tha Ray Kon Baung</t>
  </si>
  <si>
    <t>rakhine</t>
  </si>
  <si>
    <t>Mi Nyo Htaunt</t>
  </si>
  <si>
    <t>Mi Nyo Htaunt_Thar Si</t>
  </si>
  <si>
    <t>% Latrines requiring  repairs</t>
  </si>
  <si>
    <t># people reached by regular dedicated hygiene promotion_5</t>
  </si>
  <si>
    <t>SCI, Metta</t>
  </si>
  <si>
    <t xml:space="preserve"> Reached by Sex</t>
  </si>
  <si>
    <t xml:space="preserve">  Reached by Age</t>
  </si>
  <si>
    <t xml:space="preserve">Partners </t>
  </si>
  <si>
    <t xml:space="preserve"> % 
Water Gap</t>
  </si>
  <si>
    <t xml:space="preserve"> %
 Sanitation Gap</t>
  </si>
  <si>
    <t>%  
Hygiene Gap</t>
  </si>
  <si>
    <t>Sum of # people reached by regular dedicated hygiene promotion_5</t>
  </si>
  <si>
    <t>Nb of People who received regular supply of hygiene items</t>
  </si>
  <si>
    <t># People with access to soap</t>
  </si>
  <si>
    <t># People with access to Sanity Pads</t>
  </si>
  <si>
    <t># People received regular supply of hygiene items_6</t>
  </si>
  <si>
    <t>(in active camps)</t>
  </si>
  <si>
    <t>KBC, Metta</t>
  </si>
  <si>
    <t># latrines (target)</t>
  </si>
  <si>
    <t># in active camps (20:1)</t>
  </si>
  <si>
    <t>HRP target</t>
  </si>
  <si>
    <t>No Test</t>
  </si>
  <si>
    <t>Tested</t>
  </si>
  <si>
    <t>HHs</t>
  </si>
  <si>
    <t>Pops</t>
  </si>
  <si>
    <t>% WATER GAP</t>
  </si>
  <si>
    <t>% LATRINE GAP</t>
  </si>
  <si>
    <t>% HYGIENE GAP</t>
  </si>
  <si>
    <t>WinE</t>
  </si>
  <si>
    <t>GAP</t>
  </si>
  <si>
    <t>%equitable and continuous access to sufficient quantity of safe drinking and domestic water's GAP</t>
  </si>
  <si>
    <t>% of Latrine Gap</t>
  </si>
  <si>
    <t>Functioning</t>
  </si>
  <si>
    <t>Desludging</t>
  </si>
  <si>
    <t xml:space="preserve"> </t>
  </si>
  <si>
    <t>Indicator Summary (Eng/MM): All indicators and their propsed definition used in DATABASE</t>
  </si>
  <si>
    <t>Total Population</t>
  </si>
  <si>
    <t>Quarterly Dashboard: Dashboard for 1st Quarter 2017. We can view the analysis with different dimensions</t>
  </si>
  <si>
    <t>Kamai RC church</t>
  </si>
  <si>
    <t>Q2_2018</t>
  </si>
  <si>
    <t>Lawa St.Paul Catholic</t>
  </si>
  <si>
    <t xml:space="preserve">Langwa RC </t>
  </si>
  <si>
    <t xml:space="preserve">Langwa KBC </t>
  </si>
  <si>
    <t>Momauk KBC church</t>
  </si>
  <si>
    <t>Ti Yang Zug</t>
  </si>
  <si>
    <t>Trinity Church</t>
  </si>
  <si>
    <t>Jowmasat Baptist Church (Naw Khuu)</t>
  </si>
  <si>
    <t>Mine Yin Village Monastery</t>
  </si>
  <si>
    <t>Ywar Thit Kone AG Church (relocation)</t>
  </si>
  <si>
    <t>Waingmaw Behtela KBC church</t>
  </si>
  <si>
    <t>closed_cccm2018May</t>
  </si>
  <si>
    <t>31/May/2018: Population update. Data source: Shalom ( Camp Status change to Closed Camp, As per Shalom, the camp was closed on 28 May 2018). 
Updated date: 11/7/2017:SI did not WASH implement since july 2016</t>
  </si>
  <si>
    <t>MMR001CMP256</t>
  </si>
  <si>
    <t>Myo Oo St. Dominic RC Church</t>
  </si>
  <si>
    <t>Lan Gwa St.Paul RC Church</t>
  </si>
  <si>
    <t>Emmanuel AG Church</t>
  </si>
  <si>
    <t>Tang Hpre RC Church</t>
  </si>
  <si>
    <t>Ti Yang Zup</t>
  </si>
  <si>
    <t>MMR001CMP259</t>
  </si>
  <si>
    <t>MMR001CMP260</t>
  </si>
  <si>
    <t>MMR001CMP261</t>
  </si>
  <si>
    <t>MMR001CMP262</t>
  </si>
  <si>
    <t>MMR001CMP263</t>
  </si>
  <si>
    <t>MMR001CMP264</t>
  </si>
  <si>
    <t>MMR001CMP265</t>
  </si>
  <si>
    <t>MMR001CMP267</t>
  </si>
  <si>
    <t>MMR001CMP269</t>
  </si>
  <si>
    <t>MMR001CMP257</t>
  </si>
  <si>
    <t>MMR001CMP255</t>
  </si>
  <si>
    <t>MMR001CMP258</t>
  </si>
  <si>
    <t>Lawa RC Church</t>
  </si>
  <si>
    <t>MMR001CMP268</t>
  </si>
  <si>
    <t>Karmaing RC Church</t>
  </si>
  <si>
    <t>MMR001CMP270</t>
  </si>
  <si>
    <t>6/5/2018: Status changed into Closed. Source Metta NSS
Lack of access. Not updated since Mar/2014.
Change to Host Families.</t>
  </si>
  <si>
    <t>22/May/2017: Camp status change to Closed. Data Source: KBC 
2/June/2017: Population updated. Data source: WASH Cluster (dated 7/April_outlook mail)
Change to Host Families.</t>
  </si>
  <si>
    <t>Tanai AG Church</t>
  </si>
  <si>
    <t>V39</t>
  </si>
  <si>
    <t>Number of paid camp based WASH skilled labor</t>
  </si>
  <si>
    <t>V40</t>
  </si>
  <si>
    <t>Number of paid camp based WASH unskilled labor</t>
  </si>
  <si>
    <t>စခန္းအတြင္း အဖြဲ႕အစည္းမွ အခေၾကးေငြျဖင့္ခန္႔ထားေသာ (က်ြမ္းက်င္) WASH ၀န္ထမ္း အေရအတြက္</t>
  </si>
  <si>
    <t>new site</t>
  </si>
  <si>
    <t>Gaps analysis - Traffic light</t>
  </si>
  <si>
    <t>New Site</t>
  </si>
  <si>
    <t>Lambraw Yang Rc, Namatee</t>
  </si>
  <si>
    <t>InjangYang  host families</t>
  </si>
  <si>
    <t>Ma Ji Bum</t>
  </si>
  <si>
    <t>New Camp April</t>
  </si>
  <si>
    <t>New Camp May</t>
  </si>
  <si>
    <t>New Camp April, , Not include in CCCM may 2018</t>
  </si>
  <si>
    <t>Not include in CCCM may 2018</t>
  </si>
  <si>
    <t>WATER</t>
  </si>
  <si>
    <t>SANITATION</t>
  </si>
  <si>
    <t>HYGIENE</t>
  </si>
  <si>
    <t>Area GAP</t>
  </si>
  <si>
    <t>Dinet</t>
  </si>
  <si>
    <t>Pi Htu_Wa Lar Kan</t>
  </si>
  <si>
    <t>Rakhine, Mro, Khami</t>
  </si>
  <si>
    <t>Mro</t>
  </si>
  <si>
    <t>Taung Htaung Hayar_Wa Lar Kan (Ku Lar)</t>
  </si>
  <si>
    <t>% Reached</t>
  </si>
  <si>
    <t>% Gap</t>
  </si>
  <si>
    <t>Malteser reported in Q2 2018</t>
  </si>
  <si>
    <t>Thin Baw Hla (Rakhine) (Thar Yar Gone)</t>
  </si>
  <si>
    <t>Ta Man Thar</t>
  </si>
  <si>
    <t>Thea Chaung</t>
  </si>
  <si>
    <t>Kyet Yoe Pyin</t>
  </si>
  <si>
    <t>Kyet Yoe Pyin (Ywa Ma)</t>
  </si>
  <si>
    <t>Ta Man Thar (Thar Zay)_(Myo)</t>
  </si>
  <si>
    <t>??</t>
  </si>
  <si>
    <t>Kyan Taw</t>
  </si>
  <si>
    <t>Taw Kan</t>
  </si>
  <si>
    <t>Yar Tan</t>
  </si>
  <si>
    <t>Yae Chan Pyin</t>
  </si>
  <si>
    <t>Kha Tin Paik</t>
  </si>
  <si>
    <t>Pyin Shey</t>
  </si>
  <si>
    <t>Win Su</t>
  </si>
  <si>
    <t>Nga Pwint Gyi</t>
  </si>
  <si>
    <t>War Bo</t>
  </si>
  <si>
    <t>Pang Hkawn Yang</t>
  </si>
  <si>
    <t>Lone Khin Catholic Church</t>
  </si>
  <si>
    <t>Momauk IDP new Extension camp
(Alen Kawng Lawk)</t>
  </si>
  <si>
    <t>Namatee AG</t>
  </si>
  <si>
    <t>Mohyin</t>
  </si>
  <si>
    <t>Zupra</t>
  </si>
  <si>
    <t>Ban Dang</t>
  </si>
  <si>
    <t>Sut Chyai</t>
  </si>
  <si>
    <t>Da Wei</t>
  </si>
  <si>
    <t>Htai Ra Yang</t>
  </si>
  <si>
    <t>Lawt Awng</t>
  </si>
  <si>
    <t>Water Quality</t>
  </si>
  <si>
    <t>Unimproved water source</t>
  </si>
  <si>
    <r>
      <rPr>
        <b/>
        <sz val="11"/>
        <color rgb="FFFF0000"/>
        <rFont val="Corbel"/>
        <family val="2"/>
      </rPr>
      <t>Red &gt;=30%</t>
    </r>
    <r>
      <rPr>
        <b/>
        <sz val="11"/>
        <color theme="0"/>
        <rFont val="Corbel"/>
        <family val="2"/>
      </rPr>
      <t>,</t>
    </r>
    <r>
      <rPr>
        <b/>
        <sz val="11"/>
        <color theme="5"/>
        <rFont val="Corbel"/>
        <family val="2"/>
      </rPr>
      <t>Orange 0%~29%</t>
    </r>
    <r>
      <rPr>
        <b/>
        <sz val="11"/>
        <color theme="0"/>
        <rFont val="Corbel"/>
        <family val="2"/>
      </rPr>
      <t>,</t>
    </r>
    <r>
      <rPr>
        <b/>
        <sz val="11"/>
        <color theme="9" tint="-0.499984740745262"/>
        <rFont val="Corbel"/>
        <family val="2"/>
      </rPr>
      <t>Green =0%</t>
    </r>
  </si>
  <si>
    <t>Aung Ba La</t>
  </si>
  <si>
    <t>Shwe Zar (west)</t>
  </si>
  <si>
    <t>Kan Paing Nar</t>
  </si>
  <si>
    <t>Shwe Zar (North)</t>
  </si>
  <si>
    <t>Shwe Zar (Middle)</t>
  </si>
  <si>
    <t>Aung Zay Ya (Su See)</t>
  </si>
  <si>
    <t>Kyee Kan Pyin ( Temoprary Tent)</t>
  </si>
  <si>
    <t>Kyee Kan Pyin ( Surrounding)</t>
  </si>
  <si>
    <t>Aung Sit Pyin ( Done Pike)</t>
  </si>
  <si>
    <t>A Lei Ywar</t>
  </si>
  <si>
    <t>Ah Kyaw (Arisha Para)</t>
  </si>
  <si>
    <t>La Baw Zar</t>
  </si>
  <si>
    <t>Dar Shey</t>
  </si>
  <si>
    <t>Pyin Hpyu</t>
  </si>
  <si>
    <t>Thar Zay Kone (Thar Zi Kone)</t>
  </si>
  <si>
    <t>Kyauk Hlay Kar</t>
  </si>
  <si>
    <t>Thea Chaung Pyu Su</t>
  </si>
  <si>
    <t>Thea Chaung Ywar Thit Kay</t>
  </si>
  <si>
    <t>Ka Nyin Tan</t>
  </si>
  <si>
    <t>Maung Ni</t>
  </si>
  <si>
    <t>Pan Taw Pyin</t>
  </si>
  <si>
    <t>Shwe Yin Aye (NaTaLa)</t>
  </si>
  <si>
    <t>Zaw Ma Tat ( Kyine Gyi)</t>
  </si>
  <si>
    <t>Zaw Ma Tat ( Myo/ Relocation)</t>
  </si>
  <si>
    <t>Taung Pyo ( 4 Quarter)</t>
  </si>
  <si>
    <t>Taung Pyo ( 3Quarter)</t>
  </si>
  <si>
    <t>Taung Pyo ( 2 Quarter)</t>
  </si>
  <si>
    <t>Taung Pyo ( 1 Quarter)</t>
  </si>
  <si>
    <t>Kun Thee Pin</t>
  </si>
  <si>
    <t>Gyit Chaung</t>
  </si>
  <si>
    <t>Ngar Sar Kyu</t>
  </si>
  <si>
    <t>Ngan Chaung</t>
  </si>
  <si>
    <t>Thi Ho Kyun Tha Dar ( Myo/ Temporary)</t>
  </si>
  <si>
    <t>Myo U</t>
  </si>
  <si>
    <t>Sar Kon Boke (Hindu Para)</t>
  </si>
  <si>
    <t>Chan Pyin</t>
  </si>
  <si>
    <t>Sa Bai Pin Yin</t>
  </si>
  <si>
    <t>Kat Pa Kaung</t>
  </si>
  <si>
    <t>Ywet Nyo Taung</t>
  </si>
  <si>
    <t>Ah Bu Gyar</t>
  </si>
  <si>
    <t>Dar Gyi Zar</t>
  </si>
  <si>
    <t>Min Ga Lar Ahr Sheik Kyar</t>
  </si>
  <si>
    <t>Thu U Lar</t>
  </si>
  <si>
    <t>Inn Din (Rakhine)</t>
  </si>
  <si>
    <t>Kyauk Pan Du</t>
  </si>
  <si>
    <t>Myo</t>
  </si>
  <si>
    <t>Ma Ya Ma Gyi</t>
  </si>
  <si>
    <t xml:space="preserve">Dyine Net </t>
  </si>
  <si>
    <t>Ma Ya Ma Gyi + Dyine Net</t>
  </si>
  <si>
    <t>Dyine Net + Rakhine</t>
  </si>
  <si>
    <t>Dyine Net</t>
  </si>
  <si>
    <t>Shwe Zar Kat Pa Kaung</t>
  </si>
  <si>
    <t>Gaung Nyar</t>
  </si>
  <si>
    <t>Kan Beit</t>
  </si>
  <si>
    <t>Ka Nyin Chaung</t>
  </si>
  <si>
    <t>Aung Mingalar (NaTaLa)</t>
  </si>
  <si>
    <t>Hpar Wut Chaung (Ywar Thit)</t>
  </si>
  <si>
    <t>Wet Kyein (Myo)</t>
  </si>
  <si>
    <t>Pa Da Kar Ywar Thit</t>
  </si>
  <si>
    <t>Min Gyi (Tu Lar Tu Li)</t>
  </si>
  <si>
    <t>U Daung (NaTaLa)</t>
  </si>
  <si>
    <t>Mee Taik</t>
  </si>
  <si>
    <t>Yae Nauk Ngar Thar (Daing Nat)</t>
  </si>
  <si>
    <t>Ta Man Thar Ah Nauk (Rakhine)</t>
  </si>
  <si>
    <t>Mingalar Nyunt (NaTaLa)</t>
  </si>
  <si>
    <t>Min Kha Maung (NaTaLa)</t>
  </si>
  <si>
    <t>Thit Tone Nar Gwa Son</t>
  </si>
  <si>
    <t>Laung Don (Myo)</t>
  </si>
  <si>
    <t>Nga Khu Ya</t>
  </si>
  <si>
    <t>Nga Ku Ya (Ku Lar)</t>
  </si>
  <si>
    <t>Shwe Zar _Hindu</t>
  </si>
  <si>
    <t>Inn Din_new village</t>
  </si>
  <si>
    <t>MMR012009702501</t>
  </si>
  <si>
    <t>MMR012009702502</t>
  </si>
  <si>
    <t>MMR012009702503</t>
  </si>
  <si>
    <t>MMR012009702504</t>
  </si>
  <si>
    <t>KBC, Metta, SI</t>
  </si>
  <si>
    <t>KBC, KMSS, Shalom</t>
  </si>
  <si>
    <t>KBC, KMSS</t>
  </si>
  <si>
    <t>KBC, KMSS, Metta, Shalom</t>
  </si>
  <si>
    <t>Malteser, MHDO</t>
  </si>
  <si>
    <t>Gap in active camps / Township</t>
  </si>
  <si>
    <t>Jaw Masat Camp</t>
  </si>
  <si>
    <t>Pa Dauk Myaing(Pa La Na)-II</t>
  </si>
  <si>
    <t>MMR001CMP271</t>
  </si>
  <si>
    <t>Q3_2018</t>
  </si>
  <si>
    <t>31/July /2018: Population update. Data source: KMSS M
6/1/2018: Added as new camp (Camp Like Setting).</t>
  </si>
  <si>
    <t>2/June/2017: Updated Accessibility NGCA to GCA. Data source: UNOCHA.
Change to Host Families.</t>
  </si>
  <si>
    <t>Closed_cccm2018Aug</t>
  </si>
  <si>
    <t>Waimaw Baptist Zonal Office 2</t>
  </si>
  <si>
    <t>Namti Labraw Yang KBC Camp</t>
  </si>
  <si>
    <t>Ma Hawng Baptist Church</t>
  </si>
  <si>
    <t>Trinity Camp</t>
  </si>
  <si>
    <t>Tanai KBC Camp</t>
  </si>
  <si>
    <t>Mai Yu Lay New (Ta'ang)</t>
  </si>
  <si>
    <t>Mine Yu Lay village ( Old)</t>
  </si>
  <si>
    <t>Nam Hpak Ka Ta'ang ( Aung Tha Pyay)</t>
  </si>
  <si>
    <t>uncovered</t>
  </si>
  <si>
    <t>Closed : Source, OCHA</t>
  </si>
  <si>
    <t>Closed: Source UNHCR-Bhamo</t>
  </si>
  <si>
    <t>31/May/2018: Population update. Data source: Shalom ( Camp Status change to Closed Camp, As per Shalom, the camp was closed on 28 May 2018). 
30/Apr/2018: Population update. Data source: Shalom
27/Mar/2018: Population update. Data source: Shalom
5/Mar/2018: Population update. Data source: Shalom
29/June/2017: Population update. Data source: Shalom
2/June/2017: Population update. Data source: Shalom
3/May/2017: Population update. Data source: Shalom
24/April/2017: Population update. Data source: Shalom
14/Feb/2017: Population update. Data source: Shalom (the same data with previous month)
10/Jan/2017: Population update. Data source: Shalom.
21 Oct 2016: Population update. Data source: Shalom
20/Jul/2016: Population update. Data source: Shalom
16/Jun/2016: Population update. Data source: mail by Shalom
9/Nov/15. Population update. Data source: monthly report by HAP.
19-Aug-15 Population update. Source: Shalom.
25-Jun-15 (Population update. Source : Shalom)
Population update: Source: Camp Profile Round 2.</t>
  </si>
  <si>
    <t>Closed. Rellocated to Tharthana Ahlin Yaung.</t>
  </si>
  <si>
    <t>2-Apr-15 (Closed. Source: GAD)
Responsible Agency update. KMSS-BMO to KMSS-MYT.</t>
  </si>
  <si>
    <t>11/Jul/2017: Change status to Close as no update available since December 2016</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</si>
  <si>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14-Oct-15 Population update. Soruce; Hpakant Mission Report_WFP
25-Jun-15 Population update. Source: KBC
2-Apr-15 (Population update, Source: UNHCR CCCM Mission)
Population Update. Source: KBC.</t>
  </si>
  <si>
    <t>24/Apr/2017: Changed camp status as "closed". Data source: KMSS_Myitkyina and CCCM unit.
16/Sep/2016: New added camp. There no responsible organization.</t>
  </si>
  <si>
    <t>19-Aug-15 Closed. IDP were provided with individual lands within Naung Hmee village and transit toward semi-permanent settlement. Source: CCCM Unit
2-Apr-15 (Population update, Source: UNHCR CCCM Mission)
Population update: Source: Camp Profile Round 2.</t>
  </si>
  <si>
    <t>Only one HH left, included in Lon Khin Baptist distribution list.</t>
  </si>
  <si>
    <t>30/June /2018: Population update. Data source: UNHCR/Cluster partners
30/May/2018: Population update. Data source: UNHCR/Cluster partners
30/May/2018: Added as new camp</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</si>
  <si>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18-May-15 (Population update by field mission)
Source: CCCM Unit (Hpakant Assessement Mission)</t>
  </si>
  <si>
    <t>Closed.</t>
  </si>
  <si>
    <t>11/Jul/2017: Change status into closed: Data source: KBC
25/Jul/2016: Added as new camp according to KBC data. Data was given by Jade</t>
  </si>
  <si>
    <t>Move to Nant Ma Hpit Catholic Church.</t>
  </si>
  <si>
    <t>Close. According to RRC's info, this camp does not include in reported list.</t>
  </si>
  <si>
    <t>Closed Camp
Update data from OCHA IDPs List</t>
  </si>
  <si>
    <t>25-Jun-15 (Relocate to Long Sut)
Geo-Info, HH/Pop data received from MIRA Form</t>
  </si>
  <si>
    <t>Closed. Rellocated to Man Win and La Ga Yaung</t>
  </si>
  <si>
    <t>27-Mar-15 (Closed. Source: UNHCR-Bhamo)
New Camp</t>
  </si>
  <si>
    <t>16/Sep/2016: Changes camp status. Actually it was not closed. It was combined as one camp with Bum Tsit Pa. Data source: KMSS_Bhamo.
28/Jan/2016. Population update. Data source: KBC
Population Update. Source: Save The Children.</t>
  </si>
  <si>
    <t>Closed. Source: Save The Children</t>
  </si>
  <si>
    <t>19-Aug-15 Close. Source: CCCM Unit.
Population source: KMSS-BMO</t>
  </si>
  <si>
    <t>Closed. Duplicate with Maing Khaung.</t>
  </si>
  <si>
    <t>Closed. Move to Bum Tist Pa II and Man Wing. HH113/Pop837</t>
  </si>
  <si>
    <t xml:space="preserve">This IDP are registered in Nam Lim pa (Boarder) (MMR001CMP204). We should not calculate this number in total. </t>
  </si>
  <si>
    <t>Close (Source: OCHA)</t>
  </si>
  <si>
    <t>30/Mar/2018: Camp Status change to Closed: Relocate to Nongpong. 
29/June/2017: Population update. Planning to local integration through KMSS_Myitkyina. Relocated to Naung Pon
3/May/2017: Pop update. Data source: KMSS_Myitkyina
24/Apr/2017: Pop update. Data source: KMSS_Myitkyina
6/Apr/2017: Change camp status as "Open". Data source: Protection team and comfirmed by camp manager.
2/feb/2017: Closed Camp
10/Jan/2017: Population update. Data source: KMSS_Myitkyina
21/Oct/2016: Population update. Data source: KMSS_Myitkyina
14/Jul/2016: Population update. Data Source:KMSS_Myitkyina
9/Nov/15. Accomodation changes from Host families to Camp. Data source: CCCM
19-Aug-15 (Population Udate. Data Source: KMSS-MYT)
25-Jun-2015 (New host families. Source: RRD)</t>
  </si>
  <si>
    <t>IDPs returned</t>
  </si>
  <si>
    <t>11/Jul/2017: Closed camp. No update information.
25-Jun-2015 (New host families. Source: RRD)</t>
  </si>
  <si>
    <t>Closed. Duplicate with (Nawng Ing (Indawgyi) Baptist Church)</t>
  </si>
  <si>
    <t>11/Jul/2017: Closed camp. No update information since Nov 2015.
9/Nov/2015. Population update. Data source: mail from WFP.
New added Boarding School</t>
  </si>
  <si>
    <t>11/Jul/2017: Change status to Close as no update available since June/2017.
Geo-Info, HH/Pop data was updated from Google Earth.</t>
  </si>
  <si>
    <t>11/Jul/17: Change status to Close as no update available.</t>
  </si>
  <si>
    <t>11/Jul/2017: Change status to Close as no update available
Geo-Info, HH/Pop data was updated from Google Earth.</t>
  </si>
  <si>
    <t>9/Nov/2015. updated camp status (Closed). Data Source; Lu Lu Awng by mail.
19-Aug-15 Population update. Source: Shalom
25-Jun-15 (Population update. Source : Shalom)
Checked with Shalom data, IDPs figure do not change</t>
  </si>
  <si>
    <t>Closed. Population relocated to Man Bung Catholic Compound (MMR001CMP062)</t>
  </si>
  <si>
    <t>16/Jun/2016: Camp Closed. Data source: Shalom. Commnets from Shalom "Household return to Kayuk sa khan village"
9/Nov/15. Population update. Data source: monthly report by HAP.
19-Aug-15 Population update. Source: Shalom
25-Jun-15 (Population update. Source : Shalom)
Population update: Source UNHCR-Bhamo</t>
  </si>
  <si>
    <t>11/Jul/2017: Change status to Close as no update available since Jan/2017.
Update from OCHA Data (2 Jan 2014)</t>
  </si>
  <si>
    <t>11/Jul/2017: Change status to Close as no update available since June 2014
Geo-Info, HH/Pop data was updated from Google Earth.</t>
  </si>
  <si>
    <t>New displacement from Ka Sung</t>
  </si>
  <si>
    <t>25-Jun-15 Relocate to Shatapru Thida Aye Baptist Church
Population update: Source: Camp Profile Round 2.</t>
  </si>
  <si>
    <t>Closed july 2017</t>
  </si>
  <si>
    <t>25-Jun-15 (Relocated to Lone Sut)
Geo-Info, HH/Pop data received from MIRA Form</t>
  </si>
  <si>
    <t>11/Jul/2017: Change status to Close as no update available.</t>
  </si>
  <si>
    <t>25-Jun-15 (Relocated to Hpum Lone Yan and Wai Choi)
Population Update. Source: UNHCR Cross-Line Mission Report. (July 2014)</t>
  </si>
  <si>
    <t>22/June/2018: camp status change to Closed Camp. 44 HHs shifted to Maina Governent plan low cost housing. 35 HHs stayed in the host community where they already bought land and constructed houses. 
30/June/2018: Population update. Data source: Shalom
31/May/2018: Population update. Data source: Shalom
30/Apr/2018: Population update. Data source: Shalom
27/Mar/2018: Population update. Data source: Shalom
5/Mar/2018: Population update. Data source: Shalom
29/June/2017: Population update. Data source: Shalom
2/June/2017: Population update. Data source: Shalom
3/May/2017: Population update. Data source: Shalom
24/April/2017: Population update. Data source: Shalom
14/Feb/2017: Population update. Data source: Shalom (the same data with previous month)
10/Jan/2017: Population update. Data source: Shalom.
21 Oct 2016: Population update. Data source: Shalom
20/Jul/2016: Population update. Data source: Shalom
16/Jun/2016: Population update. Data source: mail by Shalom
10 May 2016. Population update: Data source_Shalom
28/Jan/2016. Population update. Data source: KBC (mail by maran)
9/Nov/15. Population update. Data source: monthly report by HAP.
19-Aug-15 Population update. Source: Shalom.
25-Jun-15 Population update. Source : Shalom.
Population update: Source: Camp Profile Round 2.</t>
  </si>
  <si>
    <t>UNHCR/DRC joint mission</t>
  </si>
  <si>
    <t>3/Mar/2016. Closed Camp. Data source: January report from KBC.
28/Jan/2016. Population update. Data source: KBC (mail by maran)
2/Dec/2015 (Population update. Data source: Monthly report by KBC).
25-Jun-2015 Update population. Data Source: KBC
Changed to Boarding School.</t>
  </si>
  <si>
    <t>6/June/2017: Changed camp status as "Closed" because of the conflict on Dec, 2016. So IDPs ( from Zai Awng - Mung Ga Zup) flew to Lung Byen. They stay awhile at Lung Byen and then they moved to Shait Yang on 17 Jan 2017. Added as a new camp (Shait Yang) instead of Zai Awng-Mung Ga Zup".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</si>
  <si>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19-Aug-15 Population update. Source KBC.
25-Jun-15 New camp. Data Source : KBC</t>
  </si>
  <si>
    <t>6/5/2018: Status changed into Closed. Source Metta NSS,some IDP have returned, some moved to host families in Namtu and Kha Shi village, Lashio township
Lack of access. Not updated since Mar/2014.
Change to Host Families.</t>
  </si>
  <si>
    <t>11/Jul/2017: Camp status change into closed. KBC said Camp will be combine with Nam Sa Larp. DATA Source: KBC
25/Jul/2016: Added as new camp according to KBC data. Data was given by Jade</t>
  </si>
  <si>
    <t>5/June/2018: Data Updated
17-01-2017: New added camp. Missing data will be collected from partners and present in next Report.</t>
  </si>
  <si>
    <t>27/Apr/2017: Changed camp status as "Closed", Data source: KBC.
15/Mar/2017: Population update, KBC is not responsible  org started from December 2016. Data Source: KBC
24/Feb/2017: Population update. Data source: KBC
18/Jul/2016: Population updte. Data source: KBC
12/May/2016. Population update. Data source: KBC
25-Jun-15 Population update. Source: KBC
Update population. Source: Camp Profile.</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</si>
  <si>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25-Jun-15 Population update. Source: KBC
Update population. Source: Camp Profile.</t>
  </si>
  <si>
    <t>30/June/2018: Population update. Data source: KBC,
31/May/2018: Population update. Data source: KBC
30/Apr/2018: Population update. Data source: KBC
27/Mar/2018: Population update. Data source: KBC
5/Mar/2018: Population update. Data source: KBC
CCCM activities start in july 2017</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</si>
  <si>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MKSS-LSO)
25-Jun-15 (Population update. Source: KMSS-LSO)
Population updated. Source: Shelter unit.</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</si>
  <si>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and Responsible agency update. Data source: KBC.
10/Jan/2017: Population update. Data source: KBC
18/Jul/2016: Added as new camp according to KBC_Brang Mai.</t>
  </si>
  <si>
    <t>5/June/2018. Data Updated.
6/May/2017: New added camp. Data source: KBC. Camp was confirmed by CCCM unit. The missing informaiton will be updated as soon as possible.</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</si>
  <si>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</si>
  <si>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5/June/2018: Data Source Metta NSS
No update information since Jul/2016, KBC to follow up
25/Jul/2016: Added as new camp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</si>
  <si>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27-Mar-15 (Changed to GCA. Source UNHCR-Bhamo)
Update population. Source: Camp Profile.</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</si>
  <si>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27-Mar-15 (Changed to GCA. Source UNHCR-Bhamo)
New camp. Source: KMSS-BMO</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</si>
  <si>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</si>
  <si>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5/Marcy/2018: Population update. Data source: KMSS-LSO.
From Jan 2018, camp like setting status change to Camp as KMSS-LSO will be cover the Camp 
6/Apr/2017: Population update. Data source: CCCM and confirmed by camp manager.
20/Feb/2017: Updating GPS coordiante.
25/Jul/2016: Added as new camp according to KBC data. Data was given by Jade</t>
  </si>
  <si>
    <t>31/July/2018: Data Source (UNHCR-LSH)
6/June/2018: Data Source ( IRC, KMSS-Lsh)
11/Jul/2017: Updated from UNOCHA, visited on March 2017 
9/Nov/15. New added camp. Data source: UNHCR CCCM officer NSS mission 8-12 July 2015.</t>
  </si>
  <si>
    <t>31/July/2018: Data Source (UNHCR-LSH)
5/June/2018: Data Source: IRC
No update information since Jul/2016, KBC to follow up
25/Jul/2016: Added as new camp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</si>
  <si>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18/Jul/2016: Population updte. Data source: KBC
15/Jun/2016: Population update. Data source: monthly report by KBC
12/May/2016. Population update. Data source: KBC
28/Jan/2016. Population update. Data source: KBC
25-Jun-15 Population update. Source: KBC
Population update. Source: KBC.</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</si>
  <si>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25-Jun-15 Population update. Source: KBC
Changed NGCA to GCA. Source: CCCM Unit</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</si>
  <si>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New Camp</t>
  </si>
  <si>
    <t>6/Apr/2017: Changed camp status as "closed". Data source: CCCM_UNHCR, comfirmed by partners (KBC)
17-01-2017: New added camp. Missing data will be collected from partners and present in next Report.</t>
  </si>
  <si>
    <t>6/Apr/2017: Changed the camp status as "Closed". Data source: CCCM and comfirmed by partner (KBC). And it was updated since 3/Mar/2014.
Change to Host Families.</t>
  </si>
  <si>
    <t>Camp Closed. Updated on 15 Jun 2016. Data source: Camp Profiling Data from KBC (Our NSS KBC-ERC team confirmed that Munekoe Pa camp has been closed regarding to their request. )
12/May/2016. Population update. Data source: KBC
28/Jan/2016. Population update. Data source: KBC (mail by maran)
2/Dec/2015. Population update. Data source: KBC
25-Jun-15 Population update. Source: KBC
Update population. Source: Camp Profile.</t>
  </si>
  <si>
    <t>6/April/2017: Changed the camp stutas as "Closed". Data source CCCM and comfirmed by partner (KBC). And it was updated since 3/March/2017
Change to Host Families.</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</si>
  <si>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New camp.</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</si>
  <si>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MKSS-LSO)
25-Jun-15 (Population update. Source: KMSS-LSO)
Population Update. Source: Save The Children.</t>
  </si>
  <si>
    <t>Closed as of 1st of September 2017</t>
  </si>
  <si>
    <t>31/July/2018: Data Source (UNHCR-LSH)
5/Jun/2018: Population update. Data source: DRC, SCI
2/Jun/2017: Population update. Data source: WASH cluster.
25/Jul/2016: Added as new camp according to KBC data. Data was given by Jade</t>
  </si>
  <si>
    <t>2/June/2017: Changed camp status as "Closed". Data source: UNOCHA and confirmed by CCCM unit.
25/Jul/2016: Added as new camp according to KBC data. Data was given by Jade</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</si>
  <si>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&amp; OCHA Lashio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</si>
  <si>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KBC
30/June/2018: Population update. Data source: KBC,
31/May/2018: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</si>
  <si>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</si>
  <si>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Population update. Changed NGCA to GCA. Source: CCCM Unit</t>
  </si>
  <si>
    <t>Closed. Same with (Nam Hkam Catholic Church  St. Thomas II)</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</si>
  <si>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&amp; OCHA Lashio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</si>
  <si>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CCCM activities start in july 2017</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</si>
  <si>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Namtu KBC 1(MMR015CMP230) and Namtu KBC 2 (MMR015CMP231) are already integrated into the old camp ( Nam Tu Baptist (MMR015CMP014)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</si>
  <si>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18th - 19th May joint assessment of OCHA and UNHCR, population returned to place of origin. Location is closed. Change to Host Families. Source: Programme Unit.</t>
  </si>
  <si>
    <t>31/July/2018: Data Source (UNHCR-LSH)
6/June/2018: Data source ( DRC- NSS)
25/Jul/2016: Added as new camp according to KBC data.</t>
  </si>
  <si>
    <t>2/June/2017: Changed camp status as "Closed" according to UNHCR_Lashio information.
17-01-2017: New added camp. Missing data will be collected from partners and present in next Report.</t>
  </si>
  <si>
    <t>Comments form CCCM</t>
  </si>
  <si>
    <t>New camp June</t>
  </si>
  <si>
    <t>V41</t>
  </si>
  <si>
    <t>in active camps</t>
  </si>
  <si>
    <t>Ah Lay Yaw / Kar Di (Ah Le)</t>
  </si>
  <si>
    <t>Pyar</t>
  </si>
  <si>
    <t>Kar Di Har Yar</t>
  </si>
  <si>
    <t xml:space="preserve">Nga Saung Bet </t>
  </si>
  <si>
    <t>San Pay Hla</t>
  </si>
  <si>
    <t>San Thit Pyin</t>
  </si>
  <si>
    <t xml:space="preserve">Thin Ga Net </t>
  </si>
  <si>
    <t>Ponn Nar</t>
  </si>
  <si>
    <t>Kar Di (Middle)</t>
  </si>
  <si>
    <t>Kar Di Ha Yar</t>
  </si>
  <si>
    <t>Ngar Saung Bet</t>
  </si>
  <si>
    <t>Sabei Hla</t>
  </si>
  <si>
    <t>San Thar Pyin</t>
  </si>
  <si>
    <t>Thin Ga Net</t>
  </si>
  <si>
    <t>Pon Nar</t>
  </si>
  <si>
    <t>Mee Pho Kone</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</si>
  <si>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The camp name also change from "Tanai RC Church - Kinsa Ra" to St. Joseph Tanai RC camp. 
31/July /2018: Population update. Data source: KMSS M
 30/June/2018: Population update. Data source: UNHCR/Cluster partners
30/May/2018: Population update. Data source: UNHCR/Cluster partners</t>
  </si>
  <si>
    <t xml:space="preserve">St. Joseph Tanai RC camp </t>
  </si>
  <si>
    <t>Information received from UNHCR PU remote monitoring tool that all the IDPs moved to nearby location ; Yartikaun; camp like setting changed from Opened to Closed on the date of 31 Aust 2018</t>
  </si>
  <si>
    <t>Closed_cccm2018Oct</t>
  </si>
  <si>
    <t>Galeng (Palaung) &amp; Kone Khem</t>
  </si>
  <si>
    <t>MMR015CMP212</t>
  </si>
  <si>
    <t>Galeng</t>
  </si>
  <si>
    <t>Q4_2018</t>
  </si>
  <si>
    <t>new camp added in 1/11/18</t>
  </si>
  <si>
    <t>1/Nov/2018: Changed camp status as "reopen", Data source: NSS Cluster Partners: Reopen as per NSS Cluster Partners confirm that the IDPs are staying in the location during Cluster Meeting. 
Close: Duplicate Camp (MMR015CMP015 - Kone Khem Camp) 21-Jan-14</t>
  </si>
  <si>
    <t>Hu Hku &amp; Ho Hko</t>
  </si>
  <si>
    <t>MMR015CMP250</t>
  </si>
  <si>
    <t>Pang Kai Pang Lawt</t>
  </si>
  <si>
    <t>new cam added in 1/11/2018. opening date is 20/4/2018 at CCCM</t>
  </si>
  <si>
    <t>closed_CCCM2018Oct</t>
  </si>
  <si>
    <t>No agency has visited since Jul/2016, KBC to follow up.
25/Jul/2016: Added as new camp according to KBC data/ all the hh stayed temporarily and returned to VoO in 2016; source of information: cluster meeting 15 Aug 2018. Lashio, by Metta, KBC, KMSS-L</t>
  </si>
  <si>
    <t xml:space="preserve">1/Nov/2018: Changed camp status as "reopen", Data source: NSS Cluster Partners: Reopen as per NSS Cluster Partners confirm that the IDPs are staying in the location during Cluster Meeting. 
Close: Duplicate Camp (MMR015CMP015 - Kone Khem Camp) 21-Jan-14.1/November/2018: Data Source: UNHCR-LSH and Partners
IDPs relocated from  Mai Yu Lay New (Ta'ang) ( MMR015CMP220)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</si>
  <si>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25-Jun-2015 Update population. Data Source: KBC
Population update: Source: Camp Profile Round 2.</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</si>
  <si>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12/May/2016. Population update. Data source: KBC
28/Jan/2016. Population update. Data source: KBC
2/Dec/2015. Population update. Data source: KBC
25-Jun-2015 Update population. Data Source: KBC
Update population according to KBC data</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</si>
  <si>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30/June /2018: Population update. Data source: UNHCR/Cluster partners
30/May/2018: Population update. Data source: UNHCR/Cluster partners
30/May/2018: Added as new camp</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</si>
  <si>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30/June /2018: Population update. Data source: UNHCR/Cluster partners
30/May/2018: Population update. Data source: UNHCR/Cluster partners
30/May/2018: Added as new camp</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</si>
  <si>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13/Dec/2014. Population update. Data source: Mail by Ko Maran. Reason for Pop changes: Following September 2016 conflict there was sudden increase of IDP pp in Mansi and Mahkawng
2/Dec/2015. Population update. Data source: KBC
2-Oct-14 Population update (New arrival). Data source: NFI distribution list from Bhamo.
19-Aug-15 Population update. Source: KBC.
25-Jun-15 Population update. Source: KBC
Population update: Source: Camp Profile Round 2.</t>
  </si>
  <si>
    <t>31/August /2018: Population update. Data source: KMSS M;Remaining IDPs voluntarily moved to PaMaTi area
30/June /2018: Population update. Data source: UNHCR/Cluster partners
30/May/2018: Population update. Data source: UNHCR/Cluster partners
21/May/2018: Added as new camp. Data source: MIRA (Multi Sector Assessment Team)</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</si>
  <si>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</si>
  <si>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 Lan Gwa KBC Church) change to Namti Labraw Yang KBC camp)  As per KBC email sent on Thu 7/5/2018 5:47 PM by PC KBC- HDD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</si>
  <si>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18/Jul/2016: Population updte. Data source: KBC
15/Jun/2016: Population update. Data source: monthly report by KBC
12/May/2016. Population update. Data source: KBC
28/Jan/2016. Population update. Data source: KBC 
2/Dec/2015. Population update. Data source: KBC.
19-Aug-15 Population update. Source: KBC.
25-Jun-15 Population update. Source: KBC
Update population according to KBC data</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</si>
  <si>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“Nawng Nan, Jaw Ma Sat KBC Church) change to Jaw Masat Camp)  As per KBC email sent on Thu 7/5/2018 5:47 PM by PC KBC- HDD 
30/June /2018: Population update. Data source: UNHCR/Cluster partners
30/May/2018: Population update. Data source: UNHCR/Cluster partners
30/May/2018: Added as new camp</t>
  </si>
  <si>
    <t xml:space="preserve">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5/Mar/2018: Population update. Data source:  Camp manager 
New displacement from Tingkawk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</si>
  <si>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19-Aug-15 Update population from KBC.
25-Jun-2015 Update population from KBC.
Update population according to KBC data</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</si>
  <si>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6/1/2018: Added as new camp (Camp Like Setting).</t>
  </si>
  <si>
    <t>31/August/2018: Population update. Data source: KMSS_Myitkyina
31/July /2018: Population update. Data source: UNHCR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</si>
  <si>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 Trinity KBC Church) change to Trinity camp)  As per KBC email sent on Thu 7/5/2018 5:47 PM by PC KBC- HDD 
30/June /2018: Population update. Data source: UNHCR/Cluster partners
30/May/2018: Population update. Data source: UNHCR/Cluster partners
21/May/2018: Added as new camp. Data source: MIRA (Multi Sector Assessment Team)</t>
  </si>
  <si>
    <t>1/Nov/2018: Population update. Data source: KMSS_Myitkyina
1/October/2018: Population update. Data source: KMSS_Myitkyina
31/August/2018: Population update. Data source: KMSS_Myitkyina
31/July /2018: Population update. Data source: KMSS M</t>
  </si>
  <si>
    <t xml:space="preserve">1/Nov/2018: Population update. Data source: KBC
1/October/2018: Population update. Data source: KBC
31/August/2018: Population update. Data source: KBC
31/July/2018: Population update: Data Source: KBC ( The camp status change to Camp from Camp like setting as KBC covers as CMA from July 2018
5/July/2018: The camp name “ Tanail KBC Church) change to Tanai KBC camp  As per KBC email sent on Thu 7/5/2018 5:47 PM by PC KBC- HDD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</si>
  <si>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Monthly report by KBC).
19-Aug-15 Update population from KBC
25-Jun-2015 Update population. Data Source: KBC
Update population according to KBC data</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</si>
  <si>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Monthly report by KBC).
19-Aug-15 Update population from KBC
25-Jun-2015 Update population. Data Source: KBC
Update population according to KBC data</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</si>
  <si>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6/June/2017: Added as new camp instead of Zai Awng - Mung Ga Zup camp because of the conflict on Dec, 2016. So IDPs ( from Zai Awng - Mung Ga Zup ) flew to Lung Byen. They stay awhile at Lung Byen and then they moved to Shait Yang on 17 Jan 2017. Changed the camp name as "Shait Yan</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</si>
  <si>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25-Jun-2015 Update population. Data Source: KBC
Changed NGCA to GCA. Source: Programme Unit.</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</si>
  <si>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change Bethela KBC church to  Waimaw Baptist Zonal Offie 2 As per KBC email sent on Thu 7/5/2018 5:47 PM by PC KBC- HDD 
30/June /2018: Population update. Data source: UNHCR/Cluster partners
30/May/2018: Population update. Data source: UNHCR/Cluster partners
30/May/2018: Added as new camp</t>
  </si>
  <si>
    <t>1/Nov/2018: Population update. Data source: KMSS_Myitkyina
1/October/2018: Population update. Data source: KMSS_Myitkyina
31/August/2018: Population update. Data source: KMSS_Myitkyina ( Number of household and population was increase in July ( +9HHs/45pax ). Living in host community. This families came from Maga Yang and Sha It Yang along with their children who have to attend the high School in Laiza which is nearby Woi Chyai) 
31/July/2018: Population update. Data source: KMSS_Myitkyina
30/June/2018: Population update. Data source: KMSS_Myitkyina
31/May/2018: Population update. Data source: KMSS_Myitkyina
10/May/2018: Population update. Data source: KMSS_Myitkyina
30/Apr/2018: Population update. Data source: KMSS_Myitkyina
27/Mar/2018: Population update. Data source: KMSS_Myitkyina
12/Jan/2018: Pop update. Data source: KMSS_Myitkyina
29/June/2017: Pop update. Data source: KMSS_Myitkyina
2/June/2017: Pop update. Data source: KMSS_Myitkyina
3/May/2017: Pop update. Data source: KMSS_Myitkyina
24/Apr/2017: Pop update. Data source: KMSS_Myitkyina
14/Feb/2017: Population update. Data source: KMSS_Myitkyina
10/Jan/2017: Population update. Data source: KMSS_Myitkyina
21/Oct/2016: Population update. Data source: KMSS_Myitkyina
1/Sep/2016: population update. Data source: KMSS_Myitkyina
14/Jul/2016: Population update. Data Source:KMSS_Myitkyina
16/Jun/2016. Population update. Data source: monthly report from KMSS_MYT
10/May/2016. Population update. Data source:KMSS
16/Feb/2016. HH and Pop correction
28/Jan/2016. Population update. Data source: KBC 
2/Dec/2015 (Population update. Data source: Monthly report by KMSS_MYT). Reason for pop changes; Travelling from the camp for daily work.
23-Oct-15 (Population update. Data sorce: Monthly report by KMSS-MYT). Reason for changes; Arrived from daily work.
2-Oct-15 (Population update. Data Source: Monthly report by KMSS-MYT)
19-Aug-15 (Population update: Data Source: KMSS-MYT)
25-Jun-15 (Population update. Source: IRRC)
Population Update. Source: KMSS-MYT</t>
  </si>
  <si>
    <t>ECHO, OFDA, MHF</t>
  </si>
  <si>
    <t>CDA</t>
  </si>
  <si>
    <t>Pyin Hpyu Maw</t>
  </si>
  <si>
    <t>newly added in Q4 2018</t>
  </si>
  <si>
    <t>Ba laung Chaung</t>
  </si>
  <si>
    <t>Thin Pyin</t>
  </si>
  <si>
    <t>Kauk Kyaing</t>
  </si>
  <si>
    <t>Pone Sar</t>
  </si>
  <si>
    <t>Aung Zay Ya</t>
  </si>
  <si>
    <t>Pyeing Chaung</t>
  </si>
  <si>
    <t>CDN - newly added in Q4</t>
  </si>
  <si>
    <t>Than Pyin</t>
  </si>
  <si>
    <t>Kauk Kyit</t>
  </si>
  <si>
    <t>Pon Sar</t>
  </si>
  <si>
    <t>OXSI (Oxfam)</t>
  </si>
  <si>
    <t>OXSI (SI)</t>
  </si>
  <si>
    <t>Khaung Doke Khar 1</t>
  </si>
  <si>
    <t>Khaung Doke Khar 2 (Hmanzi)</t>
  </si>
  <si>
    <t>Phwe Yar Kone (Say Tha Mar Gyi)</t>
  </si>
  <si>
    <t>CCCM_2018Dec</t>
  </si>
  <si>
    <t>4W Activities (2019)</t>
  </si>
  <si>
    <t>Activity
Measurement</t>
  </si>
  <si>
    <t>Output
Measurement</t>
  </si>
  <si>
    <t>State
(Rakhine, Kachin-Shan, All)</t>
  </si>
  <si>
    <t>Reporting period</t>
  </si>
  <si>
    <t>All</t>
  </si>
  <si>
    <t>WASH project agency</t>
  </si>
  <si>
    <t>Name of WASH program agency (program agency and implementing agency may be the same)</t>
  </si>
  <si>
    <t>WASH implementing agency</t>
  </si>
  <si>
    <t>Name of WASH implementing agency (program agency and implementing agency may be the same)</t>
  </si>
  <si>
    <t>Donors</t>
  </si>
  <si>
    <t>Named from Myanmar national naming conventions</t>
  </si>
  <si>
    <t>Site type (camp or village)</t>
  </si>
  <si>
    <t>The site may be either a CCCM registered camp or a village</t>
  </si>
  <si>
    <t xml:space="preserve">Site name </t>
  </si>
  <si>
    <t>All camp names need to be aligned with CCCM naming conventions</t>
  </si>
  <si>
    <t>Project start date</t>
  </si>
  <si>
    <t>Current project start date</t>
  </si>
  <si>
    <t>Project end date</t>
  </si>
  <si>
    <t>Current project end date</t>
  </si>
  <si>
    <t>Person work days lost due to access restrictions to the site</t>
  </si>
  <si>
    <t>Is there a WASH focal point/team included in the camp management structure?</t>
  </si>
  <si>
    <t>drop down
(Yes, No)</t>
  </si>
  <si>
    <t>Number of men on camp WASH team</t>
  </si>
  <si>
    <t>Number of women on camp WASH team</t>
  </si>
  <si>
    <t>Estimate liters/person/day</t>
  </si>
  <si>
    <t>HRP1: Percentage of women, men, boys and girls benefitting from safe/improved drinking water, meeting demand for domestic purposes, at minimum/agreed standards</t>
  </si>
  <si>
    <t>HRP 1 (unimproved sources)</t>
  </si>
  <si>
    <t>HRP  (unimproved sources)</t>
  </si>
  <si>
    <t>HRP 2 (latrine X 20 ppl)</t>
  </si>
  <si>
    <t>HRP 2 (latrine X 6 ppl)</t>
  </si>
  <si>
    <t xml:space="preserve">HRP2: Percentage of targeted women, men, boys and girls benefitting from a functional excreta disposal system, reducing safety/public health/environmental risks
</t>
  </si>
  <si>
    <t>V42</t>
  </si>
  <si>
    <t>V43</t>
  </si>
  <si>
    <t>V44</t>
  </si>
  <si>
    <t>V45</t>
  </si>
  <si>
    <t>HRP 2 (Latrine X 20 ppl)</t>
  </si>
  <si>
    <t>V46</t>
  </si>
  <si>
    <t>V47</t>
  </si>
  <si>
    <t>V48</t>
  </si>
  <si>
    <t>V49</t>
  </si>
  <si>
    <t>V50</t>
  </si>
  <si>
    <t>V51</t>
  </si>
  <si>
    <t>V52</t>
  </si>
  <si>
    <t>V53</t>
  </si>
  <si>
    <t>V54</t>
  </si>
  <si>
    <t>V55</t>
  </si>
  <si>
    <t>V56</t>
  </si>
  <si>
    <t>V57</t>
  </si>
  <si>
    <t>HRP 3 (1:100 HHs)</t>
  </si>
  <si>
    <t>HRP35 (1:100 HHs)</t>
  </si>
  <si>
    <t>HRP3: Percentage of targeted women, men, boys and girls benefitting from timely/adequate/tailored personal hygiene items and receiving appropriate/ community tailored messages that enable health seeking behavior</t>
  </si>
  <si>
    <t>V58</t>
  </si>
  <si>
    <t>V59</t>
  </si>
  <si>
    <t>HRP 3 (11ks / HH / Qtr)</t>
  </si>
  <si>
    <t>V60</t>
  </si>
  <si>
    <t>HRP 3 (45 sanitary pads / menstrating age female / HH / quater)</t>
  </si>
  <si>
    <t>V61</t>
  </si>
  <si>
    <t>V62</t>
  </si>
  <si>
    <t>V63</t>
  </si>
  <si>
    <t>2019 HRP Calculation</t>
  </si>
  <si>
    <t xml:space="preserve">HRP 2019 Indicators </t>
  </si>
  <si>
    <t>Percentage of women, men, boys and girls benefitting from safe/improved drinking water, meeting demand for domestic purposes, at minimum/agreed standards</t>
  </si>
  <si>
    <t>Percentage of people per safe/improved water source</t>
  </si>
  <si>
    <t>Percentage of targeted women, men, boys and girls benefitting from a functional excreta disposal system, reducing safety/public health/environmental risks</t>
  </si>
  <si>
    <t>#_ paid camp based WASH skilled labor</t>
  </si>
  <si>
    <t>#_paid camp based unskilled WASH unskilled labor</t>
  </si>
  <si>
    <t>#_men on camp WASH team</t>
  </si>
  <si>
    <t>#_women on camp WASH team</t>
  </si>
  <si>
    <t>Camp figures is needed to align with CCCM</t>
  </si>
  <si>
    <t>Site information</t>
  </si>
  <si>
    <t>Project Duration</t>
  </si>
  <si>
    <t>WASH Partner &amp; Donor information</t>
  </si>
  <si>
    <t>2019_Q1</t>
  </si>
  <si>
    <t>2019_Q2</t>
  </si>
  <si>
    <t>2019_Q3</t>
  </si>
  <si>
    <t>2019_Q4</t>
  </si>
  <si>
    <t>2019 HRP Indicators</t>
  </si>
  <si>
    <t>Number of students with equitable access to functioing school latrines</t>
  </si>
  <si>
    <t>အစီရင္ခံစာ ေပးပို႔သည္႔ကာလ</t>
  </si>
  <si>
    <t xml:space="preserve">အဖြဲ႔အစည္းအမည္ </t>
  </si>
  <si>
    <t>စခန္းတြင္သြားေရာက္ ေထာက္ပံ႔ေသာ အဖြဲ႔အစည္းအမည္</t>
  </si>
  <si>
    <t>အလွဴရွင္ အမည္</t>
  </si>
  <si>
    <t xml:space="preserve">ျပည္နယ္ </t>
  </si>
  <si>
    <t>ျမိဳ႔နယ္</t>
  </si>
  <si>
    <t>စခန္း အမ်ိဳးအစား ( ယာယီ စခန္း ၊ ယာယီမဟုတ္ေသာ စခန္း )</t>
  </si>
  <si>
    <t>စခန္းအမည္ ( စခန္းစီမံခန္႔ခြဲေရးေကာ္မတီမွ ေပးေသာ နာမည္ )</t>
  </si>
  <si>
    <t>စီမံကိန္းစတင္သည္႔ေန႔</t>
  </si>
  <si>
    <t>စီမံကိန္း ျပီးဆံုးမည္႔ေန႔</t>
  </si>
  <si>
    <t>စခန္းအတြင္း WASH ႏွင့္ သက္ဆိုင္ေသာ လုပ္ငန္းမ်ားလုပ္ေဆာင္ရန္ အဖြဲ႕အစည္းမွ အခေၾကးေငြျဖင့္ခန္႔ထားေသာ (က်ြမ္းက်င္)၀န္ထမ္း  အေရအတြက္</t>
  </si>
  <si>
    <t>စခန္းအတြင္း အဖြဲ႕အစည္းမွ အခေၾကးေငြျဖင့္ခန္႔ထားေသာ (အေထြေထြလုပ္သား) WASH ၀န္ထမ္း အေရအတြက္</t>
  </si>
  <si>
    <t>စခန္းအတြင္း WASH ႏွင့္ သက္ဆိုင္ေသာ လုပ္ငန္းမ်ားလုပ္ေဆာင္ရန္ အဖြဲ႕အစည္းမွ အခေၾကးေငြျဖင့္ခန္႔ထားေသာ (အေထြေထြလုပ္သား)၀န္ထမ္း  အေရအတြက္</t>
  </si>
  <si>
    <t>သြားလာခြင့္ အကန္႔အသတ္မ်ားေၾကာင့္ လုပ္ငန္း ရပ္တန္႔ေနေသာ ရက္မ်ား</t>
  </si>
  <si>
    <t>သြားလာခြင့္ အကန္႔အသတ္မ်ားေၾကာင့္အလုပ္သမားမ်ား  လုပ္ငန္း ရပ္တန္႔ေနေသာ ရက္မ်ား ( စုစုေပါင္းအလုပ္နားရက္)</t>
  </si>
  <si>
    <t>WASH ေကာ္မတီသည္ စခန္းဧ။္  စီမံခန္႔ခြဲမွု အဖြဲ႔တြင္ပါ၀င္မွုရွိသလား</t>
  </si>
  <si>
    <t>စခန္း ဧ။္ WASH အဖြဲ႔တြင္ ပါ၀င္ေသာ အမ်ိဴးသား ဦးေရ</t>
  </si>
  <si>
    <t>စခန္း ဧ။္ WASH အဖြဲ႔တြင္ ပါ၀င္ေသာ အမ်ိဴးသမီး ဦးေရ</t>
  </si>
  <si>
    <t>ေရ သယ္ယူေထာက္ပံ႔ျခင္းလုပ္ငန္း ( ကားျဖင္႔ (သို႔မဟုတ္) ေလွျဖင္႔ )</t>
  </si>
  <si>
    <t xml:space="preserve">ေရျပတ္လပ္ေသာလ တြင္ စံခ်ိန္ စံညြန္း ႏွင္႔ အညီ ေထာက္ပံ႔ ေပးခဲ႔ ေသာ ေရ လီတာေပါင္း ( လူတစ္ဦး အတြက္ တစ္ရက္လွ်င္ အနည္းဆံုး ၇.၅ လီတာ ခန္႔ ) </t>
  </si>
  <si>
    <t>e.coli ပိုးရွိ မရွိ စစ္ေဆးထားေသာ္လဲ ေျမေရစစ္အိုးျဖင္႔ မေသာက္သံုးပါ က ကာရံထားေသာ ေရ ကန္ ၊ ေရအိုင္မွေရအား သန္႔ရွင္းေသာ ေသာက္သံုးေရ ဟုမဆိုနိုင္ပါ။</t>
  </si>
  <si>
    <t>ေရႏွင္႔ ပါတ္သက္ျပီး ထပ္မံျဖည္႔စြက္လိုေသာ အေၾကာင္းအရာရွိပါက ျဖည္႔ရန္</t>
  </si>
  <si>
    <t>မိသားစု မ်ားမွ မိမိတို႔ကိုယ္တိုင္ စီမံခန္႔ခြဲ ႏိုင္ေသာ အိမ္သာအျဖစ္ လံုးဝလြဲေျပာင္းျပီးေသာ အိမ္သာ အေရအတြက္</t>
  </si>
  <si>
    <t>ေကာင္းမြန္ေသာ စံမံခန္႔ခြဲမႈရွိေသာ အမိႈက္သိမ္းစနစ္ ရွိပါသလား ( အမိႈက္မီးရွိဳ႕ စက္ ၊ အမိႈက္ကားျဖင္႔ သိမ္းစနစ္ ၊ လူထုမွ ကိုယ္တိုင္သန္႔ရွင္းေရးစနစ္ )</t>
  </si>
  <si>
    <t>ေကာင္းမြန္ေသာ စံမံခန္႔ခြဲမႈရွိေသာ အမိႈက္သိမ္းစနစ္ ရွိပါသလား ( အမိႈက္မီးရွိဳ႕ စက္ ၊ အမိႈက္ကားျဖင္႔ သိမ္းစနစ္ ၊ လူထုမွ အမိႈက္ပံုးမ်ားျဖင္႔  ကိုယ္တိုင္သန္႔ရွင္းေရးစနစ္ )</t>
  </si>
  <si>
    <t>ေကာင္းမြန္ေသာ ေရဆိုးထုတ္ ေျမာင္းစနစ္ ရွိပါသလား ( စခန္းအတြင္းေရအိုင္မ်ားမရွိျခင္း ၊ ျခင္ေပါက္ပြားမႈမရွိျခင္း၊  ေရဆိုးမ်ားပိတ္ဆို႔မႈမရွိဘဲ အၿမဲစီးဆင္းေနေသာ ေရေျမာင္းစနစ္အားဆိုလိုပါသည္။ )</t>
  </si>
  <si>
    <t xml:space="preserve">ကေလးသံုးအိမ္သာ အေရအတြက္ </t>
  </si>
  <si>
    <t>ကေလးသံုး အိမ္သာစုစုေပါင္း ( တံခါး အေရအတြက္အတိုင္း ေကာက္ယူပါမည္)</t>
  </si>
  <si>
    <t>မသန္စြမ္း ႏွင္႔ သက္ၾကီးရြယ္အိုမ်ားအသံုးျပဳႏိုင္ေသာ အိမ္သာ အေရအတြက္</t>
  </si>
  <si>
    <t>မသန္စြမ္း ႏွင္႔ သက္ၾကီးရြယ္အိုမ်ားအသံုးျပဳႏိုင္ေသာ အိမ္သာစုစုေပါင္း (  တံခါး အေရအတြက္အတိုင္း ေကာက္ယူပါမည္)</t>
  </si>
  <si>
    <t>မိလႅာသန္႔ရွင္းႏွင္႔ပါတ္သက္ျပီး ထပ္မံျဖည္႔စြက္လိုေသာ အေၾကာင္းအရာရွိပါက ျဖည္႔ရန္</t>
  </si>
  <si>
    <t>ထပ္မံျဖည္႔စြက္လိုေသာ အေၾကာင္းအရာရွိပါက ျဖည္႔ရန္</t>
  </si>
  <si>
    <t>စခန္းအတြင္းရွိ လက္ေဆးစင္ အေရအတြက္</t>
  </si>
  <si>
    <t>စခန္းအတြင္းရွိအသံုးျပဳရေသာ ( ေရႏွင္႔ ဆပ္ျပာရွိျပီး ပိုက္ေခါင္းမ်ား ေကာင္းေသာ) လက္ေဆးစင္ အေရအတြက္</t>
  </si>
  <si>
    <t>စခန္းအတြင္းရွိ မိသားစုသံုး သီးသန္႔ ေရခ်ိဳးခန္း အေရအတြက္</t>
  </si>
  <si>
    <t>စခန္းအတြင္အမ်ိဳးသမီး အမ်ိဳးသားခြဲထားေသာေကာင္းမြန္ေသာ အမ်ားသံုး ေရခ်ိဳးခန္း အေရအတြက္</t>
  </si>
  <si>
    <t>စခန္းအတြင္အမ်ိဳးသမီး အမ်ိဳးသားခြဲထားေသာ အမ်ားသံုး ေရခ်ိဳးခန္း အေရအတြက္ ( တံခါးမ်ားေကာင္းမြန္ျခင္း ၊ လံုျခံဳစိတ္ခ်မႈ႔ရွိျခင္း ၊ ေရစီးေရလာေကာင္းမြန္ျခင္း )</t>
  </si>
  <si>
    <t>စခန္းအတြင္းရွိ က်န္းမာေရး ၊ သန္႔ရွင္းေရး ျမွင္႔တင္ေရး လုပ္အားေပးဝန္ထမ္း-အမ်ိဳးသမီး  ( အဖြဲ႔အစည္းမ်ားမွ လုပ္အားဂုဏ္ျပဳေငြသို႔မဟုတ္ ၊ အေထာက္အပ႔ံ ရရွိေသာသူ) အေရအတြက္</t>
  </si>
  <si>
    <t>တစ္လလွ်င္ လူတစ္ဦး ရသင္႔ေသာ စံခ်ိန္စံညြန္းအတိုင္း ဆပ္ျပာ ရရွိေသာ အိမ္ေထာင္စု</t>
  </si>
  <si>
    <t>တစ္လလွ်င္ လူတစ္ဦး ရသင္႔ေသာ စံခ်ိန္စံညြန္းအတိုင္း အမ်ိဳးသမီးလစဥ္သံုး ပစၥည္း ရရွိေသာ အိမ္ေထာင္စု</t>
  </si>
  <si>
    <t>ယာယီစာသင္ေက်ာင္းေဆာင္တြင္ လက္ေဆးရန္လိုအပ္ေသာ ဆပ္ျပာရွိပါသလား ( ရွိ ၊ မရွိ ) သာေျဖရန္</t>
  </si>
  <si>
    <t>တကိုယ္ရည္သန္႔ရွင္းေရးျမွင္႔ တင္ျခင္းလုပ္ငန္းႏွင္႔ပါတ္သက္ျပီးထပ္မံျဖည္႔စြက္လိုပါက ထပ္ထည္႔ရန္</t>
  </si>
  <si>
    <t xml:space="preserve">စခန္းအတြင္းရွိ အဝီစီတြင္း ( တြင္းတိမ္ / တြင္းနက္ ) ႏွင္႔ လက္နိွပ္တံုကင္မ်ား သည္ အျခားေသာ ပုဂၢလိ က အဖြဲ႔အစည္းမ်ားမွ လွဴထားျပီး အစီရင္ခံ သည္႔ စာရင္းတြင္ မပါ ရွိေသာ အေရအတြက္ </t>
  </si>
  <si>
    <t>သဘာဝ ေရစီးဆင္းမႈစနစ္ျဖင္႔ တည္ေဆာက္ထားေသာ ေရသြယ္တန္းမႈစနစ္ ၊ ပိုက္လိုင္း ၊ သိုေလွာင္ကန္ အေရ အတြက္</t>
  </si>
  <si>
    <t xml:space="preserve">ေကာင္းမြန္ေသာ ေရဆိုးထုတ္ ေျမာင္းစနစ္ ရွိပါသလား </t>
  </si>
  <si>
    <t>စခန္းအတြင္းရွိ (အမ်ိဳးသား) က်န္းမာေရး ၊ သန္႔ရွင္းေရး  ျမွင္႔တင္ေရး လုပ္အားေပးဝန္ထမ္း</t>
  </si>
  <si>
    <t>အစီရင္ခံသည္႔ကာလ အတြင္း စခန္းအတြင္းရွိ က်န္းမာေရး ၊ သန္႔ရွင္းေရး ျမွင္႔တင္ေရး လုပ္အားေပးဝန္ထမ္း-အမ်ိဳးသား  ( အဖြဲ႔အစည္းမ်ားမွ လုပ္အားဂုဏ္ျပဳေငြသို႔မဟုတ္ ၊ အေထာက္အပ႔ံ ရရွိေသာသူ) အေရအတြက္</t>
  </si>
  <si>
    <t>စခန္းအတြင္းရွိ (အမ်ိဳးသမီး) က်န္းမာေရး ၊ သန္႔ရွင္းေရး  ျမွင္႔တင္ေရး လုပ္အားေပးဝန္ထမ္း</t>
  </si>
  <si>
    <t>စုစုေပါင္း လူဦးေရ အေရအတြက္</t>
  </si>
  <si>
    <t>စုစုေပါင္းအိမ္ေထာင္စု အေရအတြက္</t>
  </si>
  <si>
    <t># Liters/person/day</t>
  </si>
  <si>
    <t>drop down (Yes,No)</t>
  </si>
  <si>
    <t>Dropdown (Functional,Not_Functional,No,NA)</t>
  </si>
  <si>
    <t>Dropdown (Yes,No)</t>
  </si>
  <si>
    <t>အစီရင္ခံစာ ေပးပို႔သည္႔ကာလအတြင္း ေကာင္းမြန္စြာ အသံုးမျပဳႏိုင္ေသာ ဖံုးကာထားသည့္ ေရတြင္း အေရအတြက္</t>
  </si>
  <si>
    <t>အစီရင္ခံစာ ေပးပို႔သည္႔ကာလအတြင္း လက္ယက္ေရတြင္း စီမံခန္႔ခြဲျခင္း ႏွင္႔ ျပဳျပင္ထိမ္းသိမ္းျခင္း</t>
  </si>
  <si>
    <t>အစီရင္ခံစာ ေပးပို႔သည္႔ကာလအတြင္း စခန္းအတြင္း ရွိ္လက္ယက္ေရတြင္း မ်ား  စီမံခန္႔ခြဲျခင္း ႏွင္႔ ျပဳျပင္ထိမ္းသိမ္းျခင္း ျပဳလုပ္ေသာ အေရအတြက္</t>
  </si>
  <si>
    <r>
      <t>အစီရင္ခံစာ ေပးပို႔သည္႔ကာလအတြင္း သဘာ၀ ေရစီးဆင္းမွုစနစ္ျဖင္႔ တည္ေဆာက္ထားျပီး အသံုးျပဳ</t>
    </r>
    <r>
      <rPr>
        <sz val="10"/>
        <rFont val="Zawgyi-One"/>
        <family val="2"/>
      </rPr>
      <t>၍</t>
    </r>
    <r>
      <rPr>
        <sz val="9"/>
        <rFont val="zawgyi1"/>
        <family val="2"/>
      </rPr>
      <t xml:space="preserve"> မရေသာ </t>
    </r>
    <r>
      <rPr>
        <sz val="10"/>
        <rFont val="zawgyi1"/>
        <family val="2"/>
      </rPr>
      <t xml:space="preserve"> ေရသြယ္တန္းမႈ စနစ္ ၊ ပိုက္လိုင္း ၊ သိုေလွာင္ကန္ အေရ အတြက္ </t>
    </r>
  </si>
  <si>
    <r>
      <t xml:space="preserve">အစီရင္ခံစာ ေပးပို႔သည္႔ကာလအတြင္း ျပဳျပင္ထိမ္းသိမ္းမႈ႔ ျပဳလုပ္ေသာ  သဘာဝ ေရစီးဆင္းမႈ႔စနစ္ျဖင္႔ တည္ေဆာက္ထားျပီး </t>
    </r>
    <r>
      <rPr>
        <sz val="9"/>
        <rFont val="zawgyi1"/>
        <family val="2"/>
      </rPr>
      <t xml:space="preserve"> </t>
    </r>
    <r>
      <rPr>
        <sz val="10"/>
        <rFont val="zawgyi1"/>
        <family val="2"/>
      </rPr>
      <t xml:space="preserve"> ေရသြယ္တန္းမႈ႕ စနစ္ ၊ ပိုက္လိုင္း ၊ သိုေလွာင္ကန္ တုိ႔ အေရတြက္</t>
    </r>
  </si>
  <si>
    <t>အစီရင္ခံစာ ေပးပို႔သည္႔ကာလအတြင္း ေရထြက္ပင္ရင္းအားေရစမ္းသပ္ျပီးေနာက္ ကလိုရင္းေဆး ျဖင္႔ပိုးသတ္ျခင္းျပဳလုပ္သည္႔အေရအတြက္</t>
  </si>
  <si>
    <t>အစီရင္ခံစာ ေပးပို႔သည္႔ကာလအတြင္း ေရထြက္ပင္ရင္းမွ ေရနမူနာယူျပီး ေရစမ္းသပ္ျခင္း</t>
  </si>
  <si>
    <t>အစီရင္ခံစာ ေပးပို႔သည္႔ကာလအတြင္း ေရထြက္ပင္ရင္းမွ ေရနမူနာယူျပီး ေရစမ္းသပ္ျခင္း ျပဳလုပ္ေသာ နမူအေရအတြက္</t>
  </si>
  <si>
    <t>အစီရင္ခံစာ ေပးပို႔သည္႔ကာလအတြင္း မိသားစုသံုး ေသာက္ေရမွ ေရနမူနာယူျပီး ေရစမ္းသပ္ျခင္း ျပဳလုပ္ျပီးစီးသည္႔ အေရအတြက္</t>
  </si>
  <si>
    <t xml:space="preserve">အစီရင္ခံစာ ေပးပို႔သည္႔ကာလအတြင္း ေသာက္သံုးေရတြင္ ပိုးပါေသာ အိမ္ေထာင္စုမ်ားအားျပဳလုပ္ေသာေနာက္ဆက္တြဲ လုပ္ငန္းစဥ္ အၾကိမ္ အေရအတြက္ ( တကိုယ္ေရသန္႔ရွင္းေရး ေသာက္သံုးေရသန္႔ရွင္းေရးပညာေပး၊ ကလိုရင္းေဆးခတ္ျခင္း ) </t>
  </si>
  <si>
    <t>အစီရင္ခံစာ ေပးပို႔သည္႔ကာလအတြင္း မိသားစုသံုး ေသာက္ေရမွ ေရနမူနာယူျပီး ေရစမ္းသပ္ျခင္း</t>
  </si>
  <si>
    <t>အစီရင္ခံစာ ေပးပို႔သည္႔ကာလအတြင္း ေသာက္သံုးေရတြင္ ပိုးပါေသာ အိမ္ေထာင္စုမ်ားအားျပဳလုပ္ေသာေနာက္ဆက္တြဲ လုပ္ငန္းစဥ္</t>
  </si>
  <si>
    <t>အစီရင္ခံစာ ေပးပို႔သည္႔ကာလအတြင္း  မိလႅာစုပ္ထုတ္ခဲ႔ေသာ က်င္းအေရအတြက္</t>
  </si>
  <si>
    <t>အစီရင္ခံစာ ေပးပို႔သည္႔ကာလအတြင္း မိလႅာစုပ္ထုတ္ခဲ႔ေသာ က်င္းအေရအတြက္ ( အိမ္သာခန္းအေရအတြက္ ျဖင္႔ေကာက္ယူရန္  )</t>
  </si>
  <si>
    <t>အစီရင္ခံစာ ေပးပို႔သည္႔ကာလအတြင္း မိလႅာစုပ္ထုတ္ခဲ႔ေသာထုထည္ ပမာဏ ( ကုဗ မိတာ) - အလ်ား x အနံ x အျမင္႔  ( ၁၀၀ စီတီမိတာ = ၁ မိတာ ) မိတာျဖင္႔တိုင္းတာရန္</t>
  </si>
  <si>
    <t>အစီရင္ခံစာ ေပးပို႔သည္႔ကာလအတြင္း မိလႅာစုပ္ထုတ္ခဲ႔ေသာထုထည္ ပမာဏ</t>
  </si>
  <si>
    <t>မိသားစုသံုး အိမ္သာအျဖစ္  လံုးဝလြဲေျပာင္းျပီးေသာ အိမ္သာ အေရအတြက္</t>
  </si>
  <si>
    <t>လက္ရွိ ကာရံ ဖံုးအုပ္ထားေသာ ေရကန္၊ ေရအိုင္ အေရအတြက္</t>
  </si>
  <si>
    <r>
      <t>စခန္းအတြင္းရွိ လက္ရွိအိမ္သာအေရအတြင္း  ( ယာယီတိမ္းေရွာင္စခန္း တြင္ အေရးေပၚကာလသံုး ဒီဇိုင္း(သို႔) ယာယီမဟုတ္ေသာ တိ္မ္းေရွာင္စခန္း မ်ားတြင္စံခ်ိန္စံညြန္းႏွင္႔အညီေဆာက္လုပ္ျခင္း ) ႏွင္႔ အသံုးျပဳ</t>
    </r>
    <r>
      <rPr>
        <sz val="10"/>
        <rFont val="Zawgyi-One"/>
        <family val="2"/>
      </rPr>
      <t>၍</t>
    </r>
    <r>
      <rPr>
        <sz val="9"/>
        <rFont val="zawgyi1"/>
        <family val="2"/>
      </rPr>
      <t>ရေသာ အိမ္သာဆိုသည္မွာ ( က်င္း ေကာင္းမြန္ျခင္း၊ မိလႅာမ်ားျပည္႔မေနျခင္း ၊ လံု (၃) လံုႏွင္႔ျပ္ည္႔စံုျခင္း၊ အတြင္း တံခါး ၊ ေသာ႔မ်ား ၊ ၾကမ္းခင္းမ်ား ေကာင္းမြန္ျခင္း) တို႔ႏွင္ျပည္႔စံုရမည္။</t>
    </r>
  </si>
  <si>
    <t>Storage Capacity - meters cube</t>
  </si>
  <si>
    <t>Rakhine/Kachin</t>
  </si>
  <si>
    <t>site A</t>
  </si>
  <si>
    <t>auto calculation</t>
  </si>
  <si>
    <t>ေကာင္းမြန္စြာ အသံုးျပဳႏိုင္ေသာ ဖံုးကာထားသည္ စခန္းအတြင္းရွိ ေရတြင္း အေရအတြက္</t>
  </si>
  <si>
    <t>WASH အဖြဲ႔အစည္းမွ စခန္းေန လူထု အတြက္ လံုေလာက္ေသာ ပမာဏ အား ေန႔စဥ္ ထုတ္ေပးနိုင္ေသာ အသံုးျပဳေနဆဲ အဝီစီတြင္း ( တြင္းတိမ္ / တြင္းနက္ ) ႏွင္႔ လက္ႏိုပ္တံုကင္မ်ား အေရအတြက္</t>
  </si>
  <si>
    <t>ပုဂၢလိက/အျခားအလွဴရွင္မ်ား/အဖြဲ့အစည္းမ်ားမွ လွဴထားေသာ  အဝီစီတြင္း ( တြင္းတိမ္ / တြင္းနက္ ) ႏွင္႔ လက္နိွပ္တံုကင္မ်ား အေရအတြက္</t>
  </si>
  <si>
    <t>V64</t>
  </si>
  <si>
    <t>V65</t>
  </si>
  <si>
    <t>Donors should be filled WASH program agency's donor if WASH project agency and WASH implementing agency is different.</t>
  </si>
  <si>
    <t>အကယ္၍ V2 ႏွင့္ v3 မတူေနလွ်င္ အလွဴရွင္ အမည္သည္ v2 ၏ အလွဴရွင္ အမည္ျဖစ္သင့္သည္။</t>
  </si>
  <si>
    <t xml:space="preserve">စီမံကိန္းကို ဦးေဆာင္ေသာ အဖြဲ႔အစည္းအမည္ </t>
  </si>
  <si>
    <t>စခန္းတြင္းရွိ စုစုေပါင္းအိမ္ေထာင္စု အေရအတြက္</t>
  </si>
  <si>
    <t>စခန္းတြင္းရွိ  စုစုေပါင္း လူဦးေရ အေရအတြက္</t>
  </si>
  <si>
    <t>WASH အဖြဲ႔သည္ စခန္းစီမံ ခန္႔ခြဲမႈ နွင္႔ ခ်ိတ္ဆက္မႈရွိျပီး သတင္းအခ်က္အလက္မ်ားမ်ွေဝျခင္း (ရွိ ၊ မရွိ)</t>
  </si>
  <si>
    <t>စခန္းအတြင္း WASH အဖြဲ႔တြင္  ပါ၀င္ေသာ အမ်ိဳးသမီးဦးေရ</t>
  </si>
  <si>
    <t>စခန္းအတြင္း WASH အဖြဲ႔တြင္  ပါ၀င္ေသာ အမ်ိဳးသားဦးေရ</t>
  </si>
  <si>
    <t>ေကာင္းမြန္စြာ အသံုးျပဳႏိုင္ေသာ ဖံုးကာထားသည့္ စခန္းအတြင္းရွိ ေရတြင္း အေရအတြက္။ တစ္ေန့လံုး ေသာက္ေရ၊သံူးေရ အျဖစ္ သံုးစြဲလို႔ရသည္။</t>
  </si>
  <si>
    <t>သဘာ၀ ေရစီးဆင္းမွုစနစ္ျဖင္႔ တည္ေဆာက္ထားေသာ ေရသြယ္တန္းမႈစနစ္ ၊ ပိုက္လိုင္း ၊ သိုေလွာင္ကန္ အေရ အတြက္</t>
  </si>
  <si>
    <t>( WASH အဖြဲ႔အစည္းမွ ပံ့ပိုးထားေသာ) စခန္းအတြင္းရွိ  လက္ရွိအိမ္သာအေရအတြင္း ( ယာယီတိမ္းေရွာင္စခန္း တြင္ အေရးေပၚကာလသံုး ဒီဇိုင္း(သို႔) ယာယီမဟုတ္ေသာ တိ္မ္းေရွာင္စခန္း မ်ားတြင္စံခ်ိန္စံညြန္းႏွင္႔အညီေဆာက္လုပ္ျခင္း )</t>
  </si>
  <si>
    <t>WASH အစုအဖြဲ႔သို႔ သတင္းေပးပို႔ရာတြင္ မပါဝင္ေသာ ပုဂၢလိက/အျခားအလွဴရွင္မ်ား/အဖြဲ့အစည္းမ်ားမွ လွဴထားေသာ   အိမ္သာမ်ား အေရအတြက္</t>
  </si>
  <si>
    <t>အစီရင္ခံစာ ေပးပို႔သည္႔ကာလအတြင္း အသံုးျပဳမရေသာ လက္ေဆးစင္ အေရအတြက္</t>
  </si>
  <si>
    <t>အစီရင္ခံစာ ေပးပို႔သည္႔ကာလအတြင္း အသံုးျပဳမရေသာ င္အမ်ိဳးသမီး အမ်ိဳးသားခြဲထားေသာ အမ်ားသံုး ေရခ်ိဳးခန္း အေရအတြက္</t>
  </si>
  <si>
    <t>အစီရင္ခံစာ ေပးပို႔သည္႔ကာလအတြင္း သဘာဝ ေရစီးဆင္းမွုစနစ္ျဖင္႔ တည္ေဆာက္ထားျပီး အသံုးျပဳ၍ မရေသာ  ေရသြယ္တန္းမႈစနစ္ ၊ ပိုက္လိုင္း ၊ သိုေလွာင္ကန္ အေရ အတြက္</t>
  </si>
  <si>
    <t>WASH Focal in camp management structure?</t>
  </si>
  <si>
    <t>#of students in TLS (Temporary Learning Space) and CFS (Child Frendly Space)</t>
  </si>
  <si>
    <t>How many camp based skilled WASH labor employed ?
(monthly paid labour)</t>
  </si>
  <si>
    <r>
      <t xml:space="preserve">How many camp based unskilled WASH labor employed ?
(monthly paid labour)
</t>
    </r>
    <r>
      <rPr>
        <b/>
        <u/>
        <sz val="10"/>
        <color rgb="FFFF0000"/>
        <rFont val="Corbel"/>
        <family val="2"/>
      </rPr>
      <t/>
    </r>
  </si>
  <si>
    <t>Number of person days</t>
  </si>
  <si>
    <r>
      <rPr>
        <b/>
        <sz val="10"/>
        <rFont val="Corbel"/>
        <family val="2"/>
      </rPr>
      <t>Example:</t>
    </r>
    <r>
      <rPr>
        <sz val="10"/>
        <rFont val="Corbel"/>
        <family val="2"/>
      </rPr>
      <t xml:space="preserve"> If one paid employee could not access the site for 3 days and one paid employee could not access for 1 day due to access restrictions, total = 4 days lost (not 2 people)</t>
    </r>
  </si>
  <si>
    <t>Request information from CCCM if not available from WASH implementing agency</t>
  </si>
  <si>
    <t>To collect from WASH implementing agency</t>
  </si>
  <si>
    <t>#cubic meters</t>
  </si>
  <si>
    <t>Estimate liters/person/day (cubic meters)</t>
  </si>
  <si>
    <t>Kachin/Shan</t>
  </si>
  <si>
    <t>V66</t>
  </si>
  <si>
    <t>V67</t>
  </si>
  <si>
    <t>V68</t>
  </si>
  <si>
    <t>ယာယီ ေက်ာင္းေဆာင္မ်ား နွင့္ ကေလးေပ်ာ္ေနရာမ်ား တြင္တက္ေရာက္ေနေသာ ေက်ာင္းသားဦးေရ</t>
  </si>
  <si>
    <t>WASH အဖြဲ႔အစည္းမွ ပံ့ပိုးထားေသာ အဝီစီတြင္း ( တြင္းတိမ္ / တြင္းနက္ ) ႏွင္႔ လက္နိွပ္တံုကင္မ်ား အေရအတြက္</t>
  </si>
  <si>
    <t>အစီရင္ခံစာ ေပးပို႔သည္႔ကာလအတြင္း  ေကာင္းမြန္စြာ အသံုးမျပဳႏိုင္ေသာ အဝီစီတြင္း ( တြင္းတိမ္ / တြင္းနက္ ) ႏွင္႔  လက္နိွပ္တံုကင္မ်ား အေရအတြက္ (ပုဂၢလိက/အျခားအလွဴရွင္မ်ား/အဖြဲ့အစည္းမ်ားမွ လွဴဒါန္းမွုမ်ားအပါအ၀င္)</t>
  </si>
  <si>
    <t>အစီရင္ခံစာ ေပးပို႔သည္႔ကာလအတြင္း စီမံခန္႔ခြဲျခင္း ႏွင္႔ ျပဳျပင္ထိမ္းသိမ္းျခင္း ျပဳလုပ္ရေသာ အဝီစီတြင္း ( တြင္းတိမ္ / တြင္းနက္ ) ႏွင့္ လက္နိွပ္တံုကင္မ်ား အေရအတြက္ (ပုဂၢလိက/အျခားအလွဴရွင္မ်ား/အဖြဲ့အစည္းမ်ားမွ လွဴဒါန္းမွုမ်ားအပါအ၀င္)</t>
  </si>
  <si>
    <t>အစီရင္ခံစာ ေပးပို႔သည္႔ကာလအတြင္း ျပဳျပင္ထိမ္းသိမ္းမႈ ျပဳလုပ္ျပီးစီးေသာ  (သဘာဝ ေရစီးဆင္းမႈ႔စနစ္ျဖင္႔ တည္ေဆာက္ထားျပီး) ေရသြယ္တန္းမႈ႕ စနစ္ ၊ ပိုက္လိုင္း ၊ သိုေလွာင္ကန္ တုိ႔ အေရတြက္</t>
  </si>
  <si>
    <t>လက္ရွိ တည္ေဆာက္အသံုးျပဳေနေသာ ေရ အရင္းအျမစ္ ( ျမစ္ေခ်ာင္း) မွ တဆင္ ့ ေရျဖန္႔ျဖဴးေသာ စနစ္</t>
  </si>
  <si>
    <t>လက္ရွိ တည္ေဆာက္အသံုးျပဳေနေသာ ေရ အရင္းအျမစ္ ( ျမစ္ေခ်ာင္း) မွ ေန႔စဥ္ထုတ္ယူ အသံုးျပဳႏိုင္ေသာ ေရပမာဏ</t>
  </si>
  <si>
    <t>စခန္းတြင္းေနထိုင္သူမ်ားသို႔ လႊဲေျပာင္းေပးျပီးေသာ ေရထြက္ပင္ရင္းေနရာမ်ားအား ျပဳျပင္ထိန္းသိမ္းျခင္း သင္တန္းရရွိျပီးေသာ က်ြမ္းက်င္သူအေရအတြက္</t>
  </si>
  <si>
    <t>စခန္းေန ျပည္သူသို႔ အျပည္မဝ လႊဲေျပာင္းေပးျပီးေသာ ေရထြက္ပင္ရင္းေနရာမ်ား ( စခန္းေနထိုင္သူမ်ားမွ စီမံခန္႔ခြဲၿပီး WASH ေကာ္မတီမွ ျပဳျပင္ထိန္းသိမ္းျခင္း )</t>
  </si>
  <si>
    <t>စခန္းေန ျပည္သူသို႔ အျပည္မဝ   လႊဲေျပာင္းေပးျပီးေသာ ေရထြက္ပင္ရင္းေနရာမ်ား ၏ အေရအတြက္ ( စခန္းေနထိုင္သူမ်ားမွ စီမံခန္႔ခြဲၿပီး WASH ေကာ္မတီမွ ျပဳျပင္ထိန္းသိမ္းျခင္း )</t>
  </si>
  <si>
    <t>ယာယီ ေက်ာင္းေဆာင္မ်ား ႏွင့္ ကေလးေပ်ာ္ေနရာမ်ား တြင္ ရွိေသာ လက္ေဆးစင္ အေရအတြက္</t>
  </si>
  <si>
    <t>ယာယီ ေက်ာင္းေဆာင္မ်ား နွင့္ ကေလးေပ်ာ္ေနရာမ်ားတြင္ ေဆာက္လုပ္ၿပီးစီးသည္႔ လက္ေဆးစင္ အေရအတြက္</t>
  </si>
  <si>
    <t>ယာယီ ေက်ာင္းေဆာင္မ်ား နွင့္ ကေလးေပ်ာ္ေနရာမ်ားတြင္ ေဆာက္လုပ္ထားေသာ ေရထြက္ပင္ရင္း ေရသံုးရန္ ေနရာ</t>
  </si>
  <si>
    <t>ယာယီ ေက်ာင္းေဆာင္မ်ား နွင့္ ကေလးေပ်ာ္ေနရာမ်ားတြင္ ေဆာက္လုပ္ထားေသာ ေရထြက္ပင္ရင္း ေရသံုးရန္ ေနရာ ေဆာက္လုပ္ျပီးစီးသည္႔ အေရအတြက္ (သို႔) ျပဳျပင္ေပးသည္႔ အေရအတြက္</t>
  </si>
  <si>
    <t>ပုဂၢလိက/အျခားအလွဴရွင္မ်ား/အဖြဲ့အစည္းမ်ားမွ လွဴထားေသာ   အိမ္သာအေရအတြက္</t>
  </si>
  <si>
    <r>
      <t>အိမ္သာလွဴထားေသာ ပုဂၢလိက/အျခားအလွဴရွင္မ်ား/အဖြဲ့အစည္းမ်ား</t>
    </r>
    <r>
      <rPr>
        <sz val="10"/>
        <rFont val="zawgyi1"/>
        <family val="2"/>
      </rPr>
      <t>၏</t>
    </r>
    <r>
      <rPr>
        <sz val="10"/>
        <rFont val="Zawgyi-One"/>
        <family val="2"/>
      </rPr>
      <t xml:space="preserve"> အမည္</t>
    </r>
  </si>
  <si>
    <t>အိမ္သာလွဴထားေသာ ပုဂၢလိက/အျခားအလွဴရွင္မ်ား/အဖြဲ့အစည္းမ်ား၏ အမည္</t>
  </si>
  <si>
    <t>အစီရင္ခံစာ ေပးပို႔သည္႔ကာလအတြင္း အသံုးျပဳမရေသာ အိမ္သာမ်ား အေရအတြက္ (ပုဂၢလိက/အျခားအလွဴရွင္မ်ား/အဖြဲ့အစည္းမ်ားမွ လွဴဒါန္းမွုမ်ားအပါအ၀င္)</t>
  </si>
  <si>
    <t>အစီရင္ခံစာ ေပးပို႔သည္႔ကာလအတြင္း အသံုး ျပဳမရေသာ အိမ္သာ အေရအတြက္ (ပုဂၢလိက/အျခားအလွဴရွင္မ်ား/အဖြဲ့အစည္းမ်ားမွ လွဴဒါန္းမွုမ်ားအပါအ၀င္)</t>
  </si>
  <si>
    <t>အစီရင္ခံစာ ေပးပို႔သည္႔ကာလအတြင္း အၾကီးစားျပင္ဆင္ရန္လိုအပ္ေသာ အိမ္သာ ( အသံုးျပဳမရေသာ အေျခအေန) (ပုဂၢလိက/အျခားအလွဴရွင္မ်ား/အဖြဲ့အစည္းမ်ားမွ လွဴဒါန္းမွုမ်ားအပါအ၀င္)</t>
  </si>
  <si>
    <t>အၾကီးစားျပင္ဆင္ရန္လိုအပ္ေသာ အေျခအေန ဆိုသည္မွာ ( မိလႅာက်င္းဖံုး မရွိျခင္း ၊ ပ်က္စီးျခင္း၊ အမိုး အကာ မ်ားပ်က္စီးျခင္း ၊ ၾကမ္းခင္းမ်ားပ်က္စီးျခင္း ၊ အတက္အဆင္းေလွကားထစ္ မရွိျခင္း ပ်က္စီးျခင္း ၊ ပိုက္ ခြက္မ်ား ပ်က္စီးျခင္း ၊ ပိုက္လိုင္းမ်ားပ်က္စီးျခင္းတို႔ပါဝင္သည္။) (ပုဂၢလိက/အျခားအလွဴရွင္မ်ား/အဖြဲ့အစည္းမ်ားမွ လွဴဒါန္းမွုမ်ားအပါအ၀င္)</t>
  </si>
  <si>
    <t xml:space="preserve">စခန္းတြင္းရွိ ယာယီစာသင္ေက်ာင္းမ်ား နွင့္ ကေလးေပ်ာ္ေနရာမ်ား တြင္ရွိေသာ အိမ္သာအေရအတြက္ </t>
  </si>
  <si>
    <t>စခန္းတြင္းရွိ ယာယီစာသင္ေက်ာင္းမ်ား နွင့္ ကေလးေပ်ာ္ေနရာမ်ား တြင္ရွိေသာ အိမ္သာ  အေရအတြက္ (  တံခါး အေရအတြက္အတိုင္း ေကာက္ယူပါမည္)</t>
  </si>
  <si>
    <t>ယာယီစာသင္ေက်ာင္းေဆာင္မ်ား နွင့္ ကေလးေပ်ာ္ေနရာမ်ားတြင္ တကိုယ္ရည္သန္႔ရွင္းေရးပညာေပးအစီအစဥ္  
( အၾကိမ္အေရတြက္ ) သာေျဖရန္</t>
  </si>
  <si>
    <t>တကိုယ္ရည္သန္႔ရွင္းေရးပညာေပးအစီအစဥ္မ်ား ရရွိေသာ ေက်ာင္းသား ရာခိုင္နွိုင္း</t>
  </si>
  <si>
    <t>Percentage of targeted women, men, boys and girls benefitting from timely/adequate/tailored personal hygiene items and receiving appropriate/ community tailored messages that enable health seeking behavior</t>
  </si>
  <si>
    <t>#_students at TLS_CFS</t>
  </si>
  <si>
    <t>Warter quality test done</t>
  </si>
  <si>
    <t>Safe drinking water</t>
  </si>
  <si>
    <t># people with equitable and continuous access to sufficient quantity of safe drinking water</t>
  </si>
  <si>
    <t>Number of women, men, boys and girls benefitting from safe/improved drinking water, meeting demand for domestic purposes, at minimum/agreed standards</t>
  </si>
  <si>
    <t># people needs equitable and continuous access to sufficient quantity of safe drinking and domestic water GAP</t>
  </si>
  <si>
    <t>water point gap</t>
  </si>
  <si>
    <r>
      <t>WATER GAP</t>
    </r>
    <r>
      <rPr>
        <b/>
        <sz val="12"/>
        <color rgb="FFFF0000"/>
        <rFont val="Corbel"/>
        <family val="2"/>
      </rPr>
      <t/>
    </r>
  </si>
  <si>
    <t># students access to functioning school latrines</t>
  </si>
  <si>
    <t>Number of  targeted women, men, boys and girls benefitting from a functional excreta disposal system, reducing safety/public health/environmental risks</t>
  </si>
  <si>
    <t>HRP2</t>
  </si>
  <si>
    <t># people needs equitable and continuous access to sufficient quantity of safe drinking and domestic water -GAP</t>
  </si>
  <si>
    <t>HRP3</t>
  </si>
  <si>
    <t>HRP 3a</t>
  </si>
  <si>
    <t>HRP 3b</t>
  </si>
  <si>
    <t xml:space="preserve"> # of women, men, boys and girls benefitting from timely/adequate/tailored personal hygiene items and receiving appropriate/ community tailored messages that enable health seeking behavior</t>
  </si>
  <si>
    <t xml:space="preserve"> HRP1</t>
  </si>
  <si>
    <t xml:space="preserve"> HRP2</t>
  </si>
  <si>
    <t xml:space="preserve"> HRP3</t>
  </si>
  <si>
    <t>Number of  women, men, boys and girls benefitting from safe/improved drinking water, meeting demand for domestic purposes, at minimum/agreed standards</t>
  </si>
  <si>
    <t>Number of targeted women, men, boys and girls benefitting from a functional excreta disposal system, reducing safety/public health/environmental risks</t>
  </si>
  <si>
    <t>Number of targeted women, men, boys and girls benefitting from timely/adequate/tailored personal hygiene items and receiving appropriate/ community tailored messages that enable health seeking behavior</t>
  </si>
  <si>
    <t>benefitting from timely/adequate/tailored personal hygiene items and receiving appropriate/ community tailored messages that enable health seeking behavior</t>
  </si>
  <si>
    <t>benefitting from a functional excreta disposal system, reducing safety/public health/environmental risks</t>
  </si>
  <si>
    <t>benefitting from safe/improved drinking water, meeting demand for domestic purposes, at minimum/agreed standards</t>
  </si>
  <si>
    <t>PIN</t>
  </si>
  <si>
    <t>Htan Shauk Khan</t>
  </si>
  <si>
    <t>Ah Twin Hnget Thay</t>
  </si>
  <si>
    <t>Pyar Pin Yin</t>
  </si>
  <si>
    <t>Ward (1)</t>
  </si>
  <si>
    <t>Sha Kay Ywa</t>
  </si>
  <si>
    <t>Tha Yet Pyin (Rakhine)</t>
  </si>
  <si>
    <t>Tha Bauk Chaung</t>
  </si>
  <si>
    <t>Baw Li (Rakhine)</t>
  </si>
  <si>
    <t>Baw Li (Muslim)</t>
  </si>
  <si>
    <t>Gwa Sone (Muslim)</t>
  </si>
  <si>
    <t>Gwa Sone (Rakhine)</t>
  </si>
  <si>
    <t>Thay Kan (Muslim)</t>
  </si>
  <si>
    <t>Thay Kan (Rakhine)</t>
  </si>
  <si>
    <t>Na Nwin Ku</t>
  </si>
  <si>
    <t>Kyauk Yant (Rakhine)</t>
  </si>
  <si>
    <t>Than Chay (Rakhine)</t>
  </si>
  <si>
    <t>Kyauk Yit (Rakhine)</t>
  </si>
  <si>
    <t>Shwe Baho</t>
  </si>
  <si>
    <t>Wai Thar Li</t>
  </si>
  <si>
    <t>Ar Kya</t>
  </si>
  <si>
    <t>Ka Yin</t>
  </si>
  <si>
    <t>Ka Yin Taw</t>
  </si>
  <si>
    <t>Gyin Chaung</t>
  </si>
  <si>
    <t>Wa  Lan</t>
  </si>
  <si>
    <t>Wa Lan Kone</t>
  </si>
  <si>
    <t>Na Htoe Pyin</t>
  </si>
  <si>
    <t>Yar Taik</t>
  </si>
  <si>
    <t>Ku Lar Thein</t>
  </si>
  <si>
    <t>Yae Hnyin Chaung</t>
  </si>
  <si>
    <t>Kyu Yaw Chaing</t>
  </si>
  <si>
    <t>Ku Lar Te</t>
  </si>
  <si>
    <t>Auk Thin Pone Than/ Phar Kywe</t>
  </si>
  <si>
    <t> A Htet Myat Lay</t>
  </si>
  <si>
    <t>Tha Lu Chaung</t>
  </si>
  <si>
    <t xml:space="preserve"> Zay Ywar </t>
  </si>
  <si>
    <t>Nga Pha Yone</t>
  </si>
  <si>
    <t xml:space="preserve">Wah Net Yone </t>
  </si>
  <si>
    <t>Kar Hpi Chaung</t>
  </si>
  <si>
    <t>U Gar Hton</t>
  </si>
  <si>
    <t>Ma La Kyun</t>
  </si>
  <si>
    <t>Dway Cha</t>
  </si>
  <si>
    <t>MHF,EU</t>
  </si>
  <si>
    <t>1-March-2019
1-March-2019</t>
  </si>
  <si>
    <t>31-July-2019
31-Oct-2019</t>
  </si>
  <si>
    <t>YinYeKan</t>
  </si>
  <si>
    <t>OhnHnanChaung</t>
  </si>
  <si>
    <t>ThonePetChaing</t>
  </si>
  <si>
    <t>MiGyaungTet</t>
  </si>
  <si>
    <t>KaLarChaung</t>
  </si>
  <si>
    <t>PyunTo</t>
  </si>
  <si>
    <t>Sar Pyin</t>
  </si>
  <si>
    <t>Nga Khu Chaung</t>
  </si>
  <si>
    <t>Tha Yet Cho</t>
  </si>
  <si>
    <t>Tha Yet</t>
  </si>
  <si>
    <t>NgweTwinDway</t>
  </si>
  <si>
    <t>NgaWetSway</t>
  </si>
  <si>
    <t>HlaKhaing</t>
  </si>
  <si>
    <t>MinPauk</t>
  </si>
  <si>
    <t>MRCS</t>
  </si>
  <si>
    <t>Town</t>
  </si>
  <si>
    <t>Shit Thaung Monastery</t>
  </si>
  <si>
    <t>Shaw Me (Primary School)</t>
  </si>
  <si>
    <t>Mya Ta Saung Monastery</t>
  </si>
  <si>
    <t>Let Kauk Zay Monastery</t>
  </si>
  <si>
    <t>Phayapaw Phayathein</t>
  </si>
  <si>
    <t>Tin Nyo (Primary School)</t>
  </si>
  <si>
    <t>Out Thar Kan Monastery</t>
  </si>
  <si>
    <t>Shwe Taung Monastery</t>
  </si>
  <si>
    <t>Payar Por Thain Taw Gyi Monastery</t>
  </si>
  <si>
    <t>Myat Yeik Kyun Monastery</t>
  </si>
  <si>
    <t>Chaung Thit Monastery</t>
  </si>
  <si>
    <t>Sin Kae (High School)</t>
  </si>
  <si>
    <t>Sin Khing Baw (Primary School)</t>
  </si>
  <si>
    <t>Chaung New Min Gan</t>
  </si>
  <si>
    <t>Kan Pyin Ywa Haung</t>
  </si>
  <si>
    <t>Kan Pyin Ywar Thit</t>
  </si>
  <si>
    <t>Thone Saung</t>
  </si>
  <si>
    <t>Kyauk Tan Gyi</t>
  </si>
  <si>
    <t>Kyauk Tan Chay</t>
  </si>
  <si>
    <t>Kyar Ma Thauk</t>
  </si>
  <si>
    <t>Done Pyin (North)</t>
  </si>
  <si>
    <t>Done Pyin (South)</t>
  </si>
  <si>
    <t>Maung Ni Pyin</t>
  </si>
  <si>
    <t>Pyar Lay Chaung Ywar Haung</t>
  </si>
  <si>
    <t>Ohn Ye Paw</t>
  </si>
  <si>
    <t>Pyin Shey Ku lar</t>
  </si>
  <si>
    <t>Bu May Ohn Daw Chay</t>
  </si>
  <si>
    <t>Dar Paing Ywar Haung</t>
  </si>
  <si>
    <t>Sa Ma Nya Village</t>
  </si>
  <si>
    <t>Koe Saung (1) village</t>
  </si>
  <si>
    <t>Koe Song (2) Village</t>
  </si>
  <si>
    <t>Thet Kay Pyin</t>
  </si>
  <si>
    <t>Kyan Taik</t>
  </si>
  <si>
    <t>Sat Yon Maw (Rakhine)</t>
  </si>
  <si>
    <t>Ann Thar</t>
  </si>
  <si>
    <t>Naw Naw(Rakhine)</t>
  </si>
  <si>
    <t>Naw Naw(Ku Lar)</t>
  </si>
  <si>
    <t>Ah Pyin Done Chaung</t>
  </si>
  <si>
    <t>Thin Ga Zar</t>
  </si>
  <si>
    <t>Than Shin Ywar Thit</t>
  </si>
  <si>
    <t>Tan Seik</t>
  </si>
  <si>
    <t>Sat Kyar</t>
  </si>
  <si>
    <t>Let Taw Ri</t>
  </si>
  <si>
    <t>Har Ra Paing</t>
  </si>
  <si>
    <t>Kan Hpay</t>
  </si>
  <si>
    <t>Thin Khaung Maw</t>
  </si>
  <si>
    <t>Beik Taung</t>
  </si>
  <si>
    <t>Taw Tan</t>
  </si>
  <si>
    <t>Sin Seik</t>
  </si>
  <si>
    <t>Ta Khun Taing</t>
  </si>
  <si>
    <t>Done Thar</t>
  </si>
  <si>
    <t>War Taung</t>
  </si>
  <si>
    <t>Athay Kar La</t>
  </si>
  <si>
    <t>Myin Kan Seik</t>
  </si>
  <si>
    <t>Seik Ta Ra</t>
  </si>
  <si>
    <t>Gwa Sone Chin</t>
  </si>
  <si>
    <t>Taung Poke Kay</t>
  </si>
  <si>
    <t>Shwe Zin Yaw</t>
  </si>
  <si>
    <t>28/02/2018 and 28/02/2019, 01/07/2018, 01/10/2018</t>
  </si>
  <si>
    <t>28/02/2019 and 28/02/2020, 30/06/2019, 30/09/2019</t>
  </si>
  <si>
    <t xml:space="preserve"> -   </t>
  </si>
  <si>
    <t>Temporary location</t>
  </si>
  <si>
    <t>Kyar Nyo Pyin</t>
  </si>
  <si>
    <t>Mro/ Kha Mee</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</si>
  <si>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Added New camp. 
As per mail from KBC-HDD, we have to close two camps (5 Ward Baptist Church( Lon Khin- MMR001CMP179, and Ku Day Maw KBC- MMR001CMP231) and open new camp as Lawng Hkang Shait Yang Camp ( Lel Pyin) under Hpakant Township. So technically, the mentioned two camp will be combine into one camp as Lawng Hkang Shait Yang Camp ( Lel Pyin) More over  19/12/2017:  Sai Nai Baptish Church, Maw Shan Vil., Seki Mu (Closed the camp. The camp combine atLawng Hkang Shait Yang Camp? ( Lel Pyin)? </t>
  </si>
  <si>
    <t>3/Jul/2017: Population update. Data source: KBC
3/Jul/2017: Population update. Data source: KBC
19/12/2017: Closed the camp. The camp combine atLawng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14-Oct-15 Population update. Soruce; Hpakant Mission Report_WFP
25-Jun-15 Population update. Source: KBC
2-Apr-15 (Population update, Source: UNHCR CCCM Mission)
Update population according to KBC data</t>
  </si>
  <si>
    <t>Q1_2019</t>
  </si>
  <si>
    <t>Hpon Nyo Leik</t>
  </si>
  <si>
    <t>Tha Yet Pyin</t>
  </si>
  <si>
    <t>Wet Ma Kya (a) Zay Di Taung</t>
  </si>
  <si>
    <t>Thay Kan Gwa Son</t>
  </si>
  <si>
    <t>Kyauk Hpyu Thar Thay Kan</t>
  </si>
  <si>
    <t>Kyauk Yant</t>
  </si>
  <si>
    <t>Nan Yar Kone</t>
  </si>
  <si>
    <t>San Goe Taung</t>
  </si>
  <si>
    <t>Kyee Kan Pyin</t>
  </si>
  <si>
    <t>Gaw Du Tha Yah</t>
  </si>
  <si>
    <t>Myo Thu Gyi</t>
  </si>
  <si>
    <t>KhaMi</t>
  </si>
  <si>
    <t>Pyein Chaung (Ngwe Twin Dway tract)</t>
  </si>
  <si>
    <t>Metta, KMSS</t>
  </si>
  <si>
    <t>Boe Taw monastery</t>
  </si>
  <si>
    <t>Man Li</t>
  </si>
  <si>
    <t>Sasana 2500 monastery</t>
  </si>
  <si>
    <t>Baw Du Pha Village (IDP in host families)</t>
  </si>
  <si>
    <t>UMCOR</t>
  </si>
  <si>
    <t>NiDin</t>
  </si>
  <si>
    <t>OXSI (OXFAM)</t>
  </si>
  <si>
    <t>IDP only</t>
  </si>
  <si>
    <t>IDP camp</t>
  </si>
  <si>
    <t>Northern Rakhine</t>
  </si>
  <si>
    <t>Central Rakhine</t>
  </si>
  <si>
    <t>Central Rakhine Total</t>
  </si>
  <si>
    <t xml:space="preserve"> #_students at TLS_CFS</t>
  </si>
  <si>
    <t xml:space="preserve"> # People received regular supply of hygiene items</t>
  </si>
  <si>
    <t>Targeted population provided with sanitation or hygiene kits or key hygiene items</t>
  </si>
  <si>
    <t>Targeted population in humanitarian situations accessing appropriate hygiene education in schools, temporary learning spaces and other child friendly spaces</t>
  </si>
  <si>
    <t xml:space="preserve"> # people reached by regular dedicated hygiene promotion</t>
  </si>
  <si>
    <t>Temporary location_Town</t>
  </si>
  <si>
    <t>New Temporary Site</t>
  </si>
  <si>
    <t>Count of Warter quality test done</t>
  </si>
  <si>
    <t>% Access to unimproved water points</t>
  </si>
  <si>
    <t>Operation &amp; maintenance</t>
  </si>
  <si>
    <t>it is included non-functioning latrines</t>
  </si>
  <si>
    <t>functioning latrines</t>
  </si>
  <si>
    <t># Operation &amp; maintenance</t>
  </si>
  <si>
    <t>Closed_cccm2019Apr</t>
  </si>
  <si>
    <t xml:space="preserve">Hka Garan Yang </t>
  </si>
  <si>
    <t>MMR001CMP272</t>
  </si>
  <si>
    <t>KBC-BMO</t>
  </si>
  <si>
    <t>KBC-MYT</t>
  </si>
  <si>
    <t>KBC-NSS</t>
  </si>
  <si>
    <t>Opeing date: 1/6/2017 and updated date in CCCM list: 29/6/2017;not yet updated in Q3 4W. Closed in  31 Aust 2018 in CCCM list but KMSS covered still Q4 2018. in Q1 2019, no report from KMSS</t>
  </si>
  <si>
    <t>KMSS covered till Q4 2018. No report from KMSS in Q1 2019.
6/Apr/2017: Change camp status as "Open". Data source: Protection team and comfirmed by camp manager.
2/feb/2017: Closed Camp
10/Jan/2017: Population update. Data source: KMSS_Myitkyina
21/Oct/2016: Population update. Data source: KMSS_Myitkyina
14/Jul/2016: Population update. Data Source:KMSS_Myitkyina
9/Nov/15. Accomodation changes from Host families to Camp. Data source: CCCM
19-Aug-15 (Population Udate. Data Source: KMSS-MYT)
25-Jun-2015 (New host families. Source: RRD)</t>
  </si>
  <si>
    <t>NSS WASH Cluster comments:Metta distributed hygiene kit in Apr'17 but no assessment done for other WASH needs. Security concern is high to travel.
SCI covered till Q4 2018. No report from SCI in Q1 2019</t>
  </si>
  <si>
    <t>Number of people with equitable and continuous access to sufficient quantity of domestic water</t>
  </si>
  <si>
    <t>Number of people with equitable and continuous access to safe sanitation facilities</t>
  </si>
  <si>
    <t>Number of People adopt basic personal and community hygiene practices</t>
  </si>
  <si>
    <t>Kin Taung</t>
  </si>
  <si>
    <t>Tha Win Chaung</t>
  </si>
  <si>
    <t>UNICEF response through WFP</t>
  </si>
  <si>
    <t>Thein Tan (Ku Lar)</t>
  </si>
  <si>
    <t>Hpa Yar Pyin Thein Tan</t>
  </si>
  <si>
    <t>Ah Lel Chaung</t>
  </si>
  <si>
    <t>Zay Di Taung</t>
  </si>
  <si>
    <t>Ka Kyet Bet Kan Pyin</t>
  </si>
  <si>
    <t>Kin Taung (a) Kyar Nyo Pyin</t>
  </si>
  <si>
    <t>Aung Tha Pyay</t>
  </si>
  <si>
    <t>Kar Lar Day Hpet</t>
  </si>
  <si>
    <t>Yae Nauk Ngar Thar</t>
  </si>
  <si>
    <t>Kha Maung Seik</t>
  </si>
  <si>
    <t>Wet Kyein</t>
  </si>
  <si>
    <t>Ah Lel Than Kyaw</t>
  </si>
  <si>
    <t>Tha Win Chaung (Kan Pyo)</t>
  </si>
  <si>
    <t>WFP</t>
  </si>
  <si>
    <t>Ba Da Nar Ku Lar</t>
  </si>
  <si>
    <t>Thar Yar Kone (Rakhine)</t>
  </si>
  <si>
    <t>Thar Yar Kone (Dyine Net)</t>
  </si>
  <si>
    <t>Hpon Thar Wa</t>
  </si>
  <si>
    <t>Done Gyi</t>
  </si>
  <si>
    <t>Min Zi</t>
  </si>
  <si>
    <t>Chaung Wa</t>
  </si>
  <si>
    <t>Pan Hpaw Pyin</t>
  </si>
  <si>
    <t>Pyein Taw</t>
  </si>
  <si>
    <t>Pyin Shey (Sa Hpo Kyun)</t>
  </si>
  <si>
    <t>Chaung Nwe</t>
  </si>
  <si>
    <t>A Lei Ywar (Rakhine)</t>
  </si>
  <si>
    <t>A Lei Ywar (Ma Ya Ma Gyi)</t>
  </si>
  <si>
    <t>Myauk Ywar (Rakhine)</t>
  </si>
  <si>
    <t>Myauk Ywar (Hindu)</t>
  </si>
  <si>
    <t>Thin Baw Hla (Dyine Net) (Thar Yar Gone)</t>
  </si>
  <si>
    <t>Baw Ya Bar</t>
  </si>
  <si>
    <t>Kha Tin Paik Gyi</t>
  </si>
  <si>
    <t>KBC, KMSS, Metta, WPN</t>
  </si>
  <si>
    <t>KBC, Metta, KMSS, SI, WPN</t>
  </si>
  <si>
    <t>KBC, KMSS, SCI, Metta</t>
  </si>
  <si>
    <t>KMSS, SCI, Metta</t>
  </si>
  <si>
    <t>SCI, SI</t>
  </si>
  <si>
    <t>DRC,OXSI (SI),OXSI(Oxfam), MA_UK</t>
  </si>
  <si>
    <t>MHDO, Unicef</t>
  </si>
  <si>
    <t>GIZ, SCI, SI</t>
  </si>
  <si>
    <t>ACF, OXSI (Oxfam), OXSI (SI)</t>
  </si>
  <si>
    <t>MHDO, Unicef, WFP</t>
  </si>
  <si>
    <t># of People adopt basic personal and community hygiene practices</t>
  </si>
  <si>
    <t># of people access to functioning  sanitation facilities</t>
  </si>
  <si>
    <t># of people Equitable and continuous access to sufficient quantity of domestic water</t>
  </si>
  <si>
    <t>Sites with TLS</t>
  </si>
  <si>
    <t>Count of Sites with TLS</t>
  </si>
  <si>
    <t>remove from db, ipds moved to lawa rc church</t>
  </si>
  <si>
    <t>HH
(Rakhine-CCCM as of 31st Jan 2019)
(Kachin/Shan-CCCM as of 31st March 2019)</t>
  </si>
  <si>
    <t>Pop
(Rakhine-CCCM as of 31st Jan 2019)
(Kachin/Shan-CCCM as of 31st March 2019)</t>
  </si>
  <si>
    <t>CCCM_2019Jan</t>
  </si>
  <si>
    <t>Percentage of people per latrine</t>
  </si>
  <si>
    <t xml:space="preserve">Site_DB: if partners have a new site, this needs to be added/edited here (camp, village). Otherwise, no need for partners input as it's already linked with the core Database. WC IMO updated HHs and Pop figures based on updated CCCM's camp list </t>
  </si>
  <si>
    <t>HRP report: linked with 2019 WASH Cluster HRP report and outcome of quarterly WASH Cluster 4 W</t>
  </si>
  <si>
    <t>Ah Htet Thin Pone Tan</t>
  </si>
  <si>
    <t>Yoe Ta Yote</t>
  </si>
  <si>
    <t>Sin Thi Pein Hne Taw (Sin Tae)</t>
  </si>
  <si>
    <t>Kan Sauk</t>
  </si>
  <si>
    <t>Taung Min Ku Lar</t>
  </si>
  <si>
    <t>Kyun Taw</t>
  </si>
  <si>
    <t>Say Oe Kya ( Host+ Displaced)</t>
  </si>
  <si>
    <t>Thay Kan Gwa Sone ( Host)</t>
  </si>
  <si>
    <t>Zay Di Taung  ( Host + Displaced)</t>
  </si>
  <si>
    <t>Pan Myaung (Aung Mingalar Monastery)</t>
  </si>
  <si>
    <t>Gye Kyaung</t>
  </si>
  <si>
    <t>Win Zar</t>
  </si>
  <si>
    <t>Tin Nyo Thit Monastery</t>
  </si>
  <si>
    <t>Thu Yiya Yaung Chi Monastery</t>
  </si>
  <si>
    <t>Ywar Thit Kay Monastery</t>
  </si>
  <si>
    <t>Tin Htein Kan Monastery</t>
  </si>
  <si>
    <t>Thin Pan Kaing</t>
  </si>
  <si>
    <t>Wet Hla Middle School</t>
  </si>
  <si>
    <t>Taung Myint</t>
  </si>
  <si>
    <t>Pi Pin Yin Monastery</t>
  </si>
  <si>
    <t>Aung Tat Ward (Aung Mingalar Monastery)</t>
  </si>
  <si>
    <t>Aung Tat Ward (Aung Zaydi Hpayar Thin)</t>
  </si>
  <si>
    <t>Aung Tat Ward (Dein Kyi Monastery)</t>
  </si>
  <si>
    <t>Aung Tat Ward (Myo Thit Monastery)</t>
  </si>
  <si>
    <t>Aung Tat Ward (Naratsar Hpayar Thin)</t>
  </si>
  <si>
    <t>Myet Yeik Kyun Monastery</t>
  </si>
  <si>
    <t>Tein Nyo</t>
  </si>
  <si>
    <t>Kyauk Reik Kay Monastery</t>
  </si>
  <si>
    <t>Nyaung Bin Hla Village</t>
  </si>
  <si>
    <t>Mya Yaike Kyun</t>
  </si>
  <si>
    <t>Ywar Thit Monastery/Pan Myaung</t>
  </si>
  <si>
    <t>Hpar Kywe Wa</t>
  </si>
  <si>
    <t>Kun Taung</t>
  </si>
  <si>
    <t>Taung Yin School Compound</t>
  </si>
  <si>
    <t>Ban Bwee</t>
  </si>
  <si>
    <t>Auk Myat Lay</t>
  </si>
  <si>
    <t>Let Wea Myan</t>
  </si>
  <si>
    <t>Nga/Pyauk Se</t>
  </si>
  <si>
    <t>Be Kho</t>
  </si>
  <si>
    <t>Nga Sin Rine Kine Primary School</t>
  </si>
  <si>
    <t>Hnget Pyaw Chaung</t>
  </si>
  <si>
    <t>Doke Kan Chaung Monastery</t>
  </si>
  <si>
    <t>Myo Thit Ward</t>
  </si>
  <si>
    <t>Paik Thei Ward</t>
  </si>
  <si>
    <t>Bo Min Monastery</t>
  </si>
  <si>
    <t>Aung Zay Ya Monastery</t>
  </si>
  <si>
    <t>Ba Ra War Monastery</t>
  </si>
  <si>
    <t>Kyar Nin Kan Monastery</t>
  </si>
  <si>
    <t>Zin Khar Chay Monastery</t>
  </si>
  <si>
    <t>Min Hla Kaing</t>
  </si>
  <si>
    <t>Zedi Pyin</t>
  </si>
  <si>
    <t>Yay Myet</t>
  </si>
  <si>
    <t>Phat Lake</t>
  </si>
  <si>
    <t>Aung Si Kone</t>
  </si>
  <si>
    <t>Ah Shae Myauk Quarter</t>
  </si>
  <si>
    <t>Tha Mee Hla</t>
  </si>
  <si>
    <t>Ray Zar Chaung</t>
  </si>
  <si>
    <t>Sin Khone Taing</t>
  </si>
  <si>
    <t>Gan Kya</t>
  </si>
  <si>
    <t>Ba Wan Chaung Wa Su Ward / Monastery</t>
  </si>
  <si>
    <t xml:space="preserve"> % Water GAP</t>
  </si>
  <si>
    <t xml:space="preserve"> % Sanitation GAP</t>
  </si>
  <si>
    <t xml:space="preserve"> % Hygiene Gap</t>
  </si>
  <si>
    <t xml:space="preserve">  % Hygiene Gap</t>
  </si>
  <si>
    <t xml:space="preserve"> % Water Coverage</t>
  </si>
  <si>
    <t xml:space="preserve">  % Latrine Coverage</t>
  </si>
  <si>
    <t xml:space="preserve">  % Latrine GAP</t>
  </si>
  <si>
    <t xml:space="preserve">  % Hygiene Coverage</t>
  </si>
  <si>
    <t xml:space="preserve">Shwe Thee </t>
  </si>
  <si>
    <t>BUT_Sa Par Htar</t>
  </si>
  <si>
    <t>War Taung Camp</t>
  </si>
  <si>
    <t>MMR012004701502</t>
  </si>
  <si>
    <t>MMR012004701505</t>
  </si>
  <si>
    <t>Auk Thar Kan</t>
  </si>
  <si>
    <t>MMR012003701505</t>
  </si>
  <si>
    <t>Htan Ma Rit (Kwet Thit)</t>
  </si>
  <si>
    <t>Mra_Zay Di Taung</t>
  </si>
  <si>
    <t>Sin Baw Kaing (Monastery)</t>
  </si>
  <si>
    <t>Sin Baw Kaing (School)</t>
  </si>
  <si>
    <t>Thit Pok Chaung</t>
  </si>
  <si>
    <t>Kyu Taw Chaing</t>
  </si>
  <si>
    <t>MMR012007701505</t>
  </si>
  <si>
    <t>Ah Htet Myat Hle</t>
  </si>
  <si>
    <t>Auk Myat Hle</t>
  </si>
  <si>
    <t>Yoe Ta Yoke</t>
  </si>
  <si>
    <t>Sin Thi Pein Hne Taw</t>
  </si>
  <si>
    <t>RAT_Zay Di Pyin</t>
  </si>
  <si>
    <t>Hpet Leik</t>
  </si>
  <si>
    <t>Aung Zay Kone</t>
  </si>
  <si>
    <t>Ah Shey (North) Ward</t>
  </si>
  <si>
    <t>MMR012008701503</t>
  </si>
  <si>
    <t>KAT_Nyaung Chaung</t>
  </si>
  <si>
    <t xml:space="preserve">Sum of Total PoP </t>
  </si>
  <si>
    <t>Ywa Thit</t>
  </si>
  <si>
    <t>Teik Tu Pauk</t>
  </si>
  <si>
    <t>Kan Thar Yar</t>
  </si>
  <si>
    <t>Shwe Baho+Sein P M</t>
  </si>
  <si>
    <t>Tat U Chaung (West)</t>
  </si>
  <si>
    <t>WVI</t>
  </si>
  <si>
    <t>Zay Di Taung (Rakhine)</t>
  </si>
  <si>
    <t>Bar Ri Zar</t>
  </si>
  <si>
    <t>Tat U Chaung</t>
  </si>
  <si>
    <t>Pyar Pyin Thein Tan</t>
  </si>
  <si>
    <t># Tested</t>
  </si>
  <si>
    <t>No test</t>
  </si>
  <si>
    <t xml:space="preserve"> # Tested</t>
  </si>
  <si>
    <t>cccm_2019May</t>
  </si>
  <si>
    <t>MMR001CMP273</t>
  </si>
  <si>
    <t>30/April/19: Camp Created as Open Camp like setting. KBC Bhamo implemented WASH,Education and Food assistance  as an emergency since 2016 collaboration and coordination with IRRC and some other agencies such as SI,KMSS,NRC and Metta Foundation at Pang Hkawn Yang Camp(7 different divided area).Pang Hkawn Yang is located between four Township(Shwegu,Hopin ,Myo Hla and Myitkyina)and closed to shwegu Town. 
fled in early of 2012 because of Arm Clashed between KIO and Burmese Millitary.They are still at the forest area of near their origin village as the mobile IDPs until now</t>
  </si>
  <si>
    <t>6-Miles</t>
  </si>
  <si>
    <t>Q2_2019</t>
  </si>
  <si>
    <t>Enai (Man Pyein)</t>
  </si>
  <si>
    <t>Frequency</t>
  </si>
  <si>
    <t>Quarterly</t>
  </si>
  <si>
    <t>Q2 (Pauktaw and Myebon only)</t>
  </si>
  <si>
    <t>Q1+Q2+Q3+Q4 (Pauktaw and Myebon only)</t>
  </si>
  <si>
    <t>Yearly (Q3)</t>
  </si>
  <si>
    <t xml:space="preserve">Litres of water currently stored/avaialble in ponds + complemented by emergency water supply (added to # litres of water available in ponds?) </t>
  </si>
  <si>
    <t># of latrines in TLS/CFS</t>
  </si>
  <si>
    <r>
      <t xml:space="preserve"># of </t>
    </r>
    <r>
      <rPr>
        <b/>
        <u/>
        <sz val="10"/>
        <rFont val="Corbel"/>
        <family val="2"/>
      </rPr>
      <t>functional</t>
    </r>
    <r>
      <rPr>
        <sz val="10"/>
        <rFont val="Corbel"/>
        <family val="2"/>
      </rPr>
      <t xml:space="preserve"> improved water sources in the site operating at the </t>
    </r>
    <r>
      <rPr>
        <b/>
        <u/>
        <sz val="10"/>
        <rFont val="Corbel"/>
        <family val="2"/>
      </rPr>
      <t>end of the reporting period</t>
    </r>
  </si>
  <si>
    <r>
      <t xml:space="preserve"># of households receiving </t>
    </r>
    <r>
      <rPr>
        <b/>
        <u/>
        <sz val="10"/>
        <rFont val="Corbel"/>
        <family val="2"/>
      </rPr>
      <t>household water storage items</t>
    </r>
  </si>
  <si>
    <t>Include in revised PDM</t>
  </si>
  <si>
    <t>% of complaints received that result in timely, corrective action and feedback to the community</t>
  </si>
  <si>
    <t>Include in revised PDM (also check if CCCM collects)</t>
  </si>
  <si>
    <t>Diarrhoea rate per 10,000 ppl, average over past 3 months (extracted from EpiWeek data from health)</t>
  </si>
  <si>
    <t>Have any groups been excluded from access to WASH facilities because of the handover?</t>
  </si>
  <si>
    <t>What are IDP's primary concerns on WASH related to camp closure?</t>
  </si>
  <si>
    <t>Do you know who is responsible to maintain and repair WASH facilities?</t>
  </si>
  <si>
    <t xml:space="preserve">WASH Cluster to use Health cluster data and include per camp. </t>
  </si>
  <si>
    <r>
      <rPr>
        <b/>
        <u/>
        <sz val="10"/>
        <rFont val="Corbel"/>
        <family val="2"/>
      </rPr>
      <t>Avg repair time</t>
    </r>
    <r>
      <rPr>
        <sz val="10"/>
        <rFont val="Corbel"/>
        <family val="2"/>
      </rPr>
      <t xml:space="preserve"> for water points (</t>
    </r>
    <r>
      <rPr>
        <b/>
        <u/>
        <sz val="10"/>
        <rFont val="Corbel"/>
        <family val="2"/>
      </rPr>
      <t># days</t>
    </r>
    <r>
      <rPr>
        <sz val="10"/>
        <rFont val="Corbel"/>
        <family val="2"/>
      </rPr>
      <t xml:space="preserve">) </t>
    </r>
    <r>
      <rPr>
        <b/>
        <u/>
        <sz val="10"/>
        <rFont val="Corbel"/>
        <family val="2"/>
      </rPr>
      <t>during reporting period</t>
    </r>
  </si>
  <si>
    <r>
      <rPr>
        <b/>
        <u/>
        <sz val="10"/>
        <rFont val="Corbel"/>
        <family val="2"/>
      </rPr>
      <t># of existing</t>
    </r>
    <r>
      <rPr>
        <sz val="10"/>
        <rFont val="Corbel"/>
        <family val="2"/>
      </rPr>
      <t xml:space="preserve"> improved water sources in the site (functional + non-functional)</t>
    </r>
  </si>
  <si>
    <t>WATER Comments                                         
(If you have gaps or questions)</t>
  </si>
  <si>
    <t>SANITATION Comments                                               
(If you have gaps or questions)</t>
  </si>
  <si>
    <t>HYGIENE Comments                                                               
(If you have gaps or questions)</t>
  </si>
  <si>
    <t xml:space="preserve">#_litres_of_water_supplied_by_existing_water_boating/trucking </t>
  </si>
  <si>
    <t>#_Functional_improved_water_source</t>
  </si>
  <si>
    <t>#_Existing_improved_water_source</t>
  </si>
  <si>
    <t>#_Water samples _passed_at_water source</t>
  </si>
  <si>
    <t>#_Water samples_Tested_at_water_source</t>
  </si>
  <si>
    <t>#_Water samples_Tested_at_HH</t>
  </si>
  <si>
    <t>#_Water samples _passed_at_HH</t>
  </si>
  <si>
    <t>#_HH_receiving_HH_water_storage items</t>
  </si>
  <si>
    <t>Avg_repair_time for_water_points_# days</t>
  </si>
  <si>
    <t>#_Functional_water_point_at_TLS/CFS</t>
  </si>
  <si>
    <r>
      <t>#_F</t>
    </r>
    <r>
      <rPr>
        <sz val="9"/>
        <rFont val="Crobel"/>
      </rPr>
      <t>unctional_adult_latrines</t>
    </r>
  </si>
  <si>
    <t>#_Existing_latrines</t>
  </si>
  <si>
    <t>#_latrines_repaired</t>
  </si>
  <si>
    <t>%_of_OD_within_15ft_of_latrines</t>
  </si>
  <si>
    <r>
      <t>#_m3_of_</t>
    </r>
    <r>
      <rPr>
        <sz val="9"/>
        <rFont val="Crobel"/>
      </rPr>
      <t>faecal_sludge_removed_from_camp</t>
    </r>
  </si>
  <si>
    <t>%_of_Men_that_feel_safe_to_use_latrines_when_they_need_to_(or_at_day/night)'?</t>
  </si>
  <si>
    <t>%_of_Women_that_feel_safe_to_use_latrines_when_they_need_to_(or_at_day/night)?</t>
  </si>
  <si>
    <t>%_of_Girlss_that_feel_safe_to_use_latrines_when_they_need_to_(or_at_day/night)?</t>
  </si>
  <si>
    <t>%_of_Boys_that_feel_safe_to_use_latrines_when_they_need_to_(or_at_day/night)?</t>
  </si>
  <si>
    <t>#_of_functional_children_latrines</t>
  </si>
  <si>
    <t>#_of_PWD_with_adapted_sanitation_option</t>
  </si>
  <si>
    <t>#_of_latrines_in_TLS/CFS</t>
  </si>
  <si>
    <t>Is_there_an_effective_solid_waste_management_system_in_place?</t>
  </si>
  <si>
    <t xml:space="preserve">SANITATION Comments </t>
  </si>
  <si>
    <t>WATER Comment</t>
  </si>
  <si>
    <t>%_of_affected_people_who_report_handwashing_at_key_times</t>
  </si>
  <si>
    <t>%_of_women_and_girls_who_report_that_they_have_an_adequate_system_for_disposing_of_used_sanitary_pads</t>
  </si>
  <si>
    <t>_#_of_Men_receiving_consultation_hygiene_promotion_messages_and_sessions</t>
  </si>
  <si>
    <t>_#_of_Women_receiving_consultation_hygiene_promotion_messages_and_sessions</t>
  </si>
  <si>
    <t>_#_of_Boys_receiving_consultation_hygiene_promotion_messages_and_sessions</t>
  </si>
  <si>
    <t>_#_of_Girls_receiving_consultation_hygiene_promotion_messages_and_sessions</t>
  </si>
  <si>
    <t>#_of_affected_households_receiving_a_sufficient_quantity_of_soap</t>
  </si>
  <si>
    <t>#_of_affected_women_and_girls_receiving_a_sufficient_quantity_of_sanitary_pads</t>
  </si>
  <si>
    <t>%_of_TLS/CFS_with_a_designated_place_for_children_to_wash_hands_where_soap_is_available</t>
  </si>
  <si>
    <t>%_of_affected_people_surveyed_who_report_feeling_satistfied_with_the_water_point_design_and_water_service</t>
  </si>
  <si>
    <t>#_of_affected_people_surveyed_who_report_feeling_informed_about_the_different_WASH_services_available_to_them</t>
  </si>
  <si>
    <t>Diarrhoea_rate_per_10,000_ppl,_average_over_past_3_months_(extracted_from_EpiWeek_data_from_health)</t>
  </si>
  <si>
    <t>Have_any_groups_been_excluded_from_access_to_WASH_facilities_because_of_the_handover?</t>
  </si>
  <si>
    <t>What_are_IDP's_primary_concerns_on_WASH_related_to_camp_closure?</t>
  </si>
  <si>
    <t>Do_you_know_who_is_responsible_to_maintain_and_repair_WASH_facilities?</t>
  </si>
  <si>
    <t>%_of_affected_people_surveyed_who_report_feeling_satistfied_with_the_latrine_design_and_sanitation_service</t>
  </si>
  <si>
    <t>%_of_complaints_received_that_result_in_timely_corrective_action_and_feedback_to_the_community</t>
  </si>
  <si>
    <r>
      <t># of Water samples</t>
    </r>
    <r>
      <rPr>
        <b/>
        <u/>
        <sz val="10"/>
        <rFont val="Corbel"/>
        <family val="2"/>
      </rPr>
      <t xml:space="preserve"> tested</t>
    </r>
    <r>
      <rPr>
        <sz val="10"/>
        <rFont val="Corbel"/>
        <family val="2"/>
      </rPr>
      <t xml:space="preserve"> for fecal coliform  (@ water source) during reporting period</t>
    </r>
  </si>
  <si>
    <r>
      <t xml:space="preserve"># of Water samples which </t>
    </r>
    <r>
      <rPr>
        <b/>
        <u/>
        <sz val="10"/>
        <rFont val="Corbel"/>
        <family val="2"/>
      </rPr>
      <t>passed</t>
    </r>
    <r>
      <rPr>
        <sz val="10"/>
        <rFont val="Corbel"/>
        <family val="2"/>
      </rPr>
      <t xml:space="preserve"> the fecal coliform test  (@ water source) during reporting period</t>
    </r>
  </si>
  <si>
    <r>
      <t># of Water samples</t>
    </r>
    <r>
      <rPr>
        <b/>
        <u/>
        <sz val="10"/>
        <rFont val="Corbel"/>
        <family val="2"/>
      </rPr>
      <t xml:space="preserve"> tested </t>
    </r>
    <r>
      <rPr>
        <sz val="10"/>
        <rFont val="Corbel"/>
        <family val="2"/>
      </rPr>
      <t>for fecal coliform (@ HH level) during reporting period</t>
    </r>
  </si>
  <si>
    <r>
      <t xml:space="preserve"># of Water samples which </t>
    </r>
    <r>
      <rPr>
        <b/>
        <u/>
        <sz val="10"/>
        <rFont val="Corbel"/>
        <family val="2"/>
      </rPr>
      <t>passed</t>
    </r>
    <r>
      <rPr>
        <sz val="10"/>
        <rFont val="Corbel"/>
        <family val="2"/>
      </rPr>
      <t xml:space="preserve"> the fecal coliform test (@ HH level) during reporting period</t>
    </r>
  </si>
  <si>
    <r>
      <t xml:space="preserve"># functional </t>
    </r>
    <r>
      <rPr>
        <b/>
        <u/>
        <sz val="10"/>
        <rFont val="Corbel"/>
        <family val="2"/>
      </rPr>
      <t xml:space="preserve">water point at TLS/CFS </t>
    </r>
    <r>
      <rPr>
        <b/>
        <sz val="10"/>
        <rFont val="Corbel"/>
        <family val="2"/>
      </rPr>
      <t>during reporting period</t>
    </r>
  </si>
  <si>
    <r>
      <t xml:space="preserve"># of </t>
    </r>
    <r>
      <rPr>
        <b/>
        <u/>
        <sz val="10"/>
        <rFont val="Corbel"/>
        <family val="2"/>
      </rPr>
      <t>functional adult latrines</t>
    </r>
    <r>
      <rPr>
        <sz val="10"/>
        <rFont val="Corbel"/>
        <family val="2"/>
      </rPr>
      <t xml:space="preserve"> that meet </t>
    </r>
    <r>
      <rPr>
        <b/>
        <u/>
        <sz val="10"/>
        <rFont val="Corbel"/>
        <family val="2"/>
      </rPr>
      <t>design requirements</t>
    </r>
    <r>
      <rPr>
        <sz val="10"/>
        <rFont val="Corbel"/>
        <family val="2"/>
      </rPr>
      <t xml:space="preserve"> in </t>
    </r>
    <r>
      <rPr>
        <b/>
        <u/>
        <sz val="10"/>
        <rFont val="Corbel"/>
        <family val="2"/>
      </rPr>
      <t>the site</t>
    </r>
    <r>
      <rPr>
        <sz val="10"/>
        <rFont val="Corbel"/>
        <family val="2"/>
      </rPr>
      <t xml:space="preserve"> operating </t>
    </r>
    <r>
      <rPr>
        <b/>
        <u/>
        <sz val="10"/>
        <rFont val="Corbel"/>
        <family val="2"/>
      </rPr>
      <t>during reporting period</t>
    </r>
    <r>
      <rPr>
        <sz val="10"/>
        <rFont val="Corbel"/>
        <family val="2"/>
      </rPr>
      <t xml:space="preserve"> </t>
    </r>
  </si>
  <si>
    <r>
      <rPr>
        <b/>
        <u/>
        <sz val="10"/>
        <rFont val="Corbel"/>
        <family val="2"/>
      </rPr>
      <t># of existing</t>
    </r>
    <r>
      <rPr>
        <b/>
        <sz val="10"/>
        <rFont val="Corbel"/>
        <family val="2"/>
      </rPr>
      <t xml:space="preserve"> latrines that meet design requirements </t>
    </r>
    <r>
      <rPr>
        <sz val="10"/>
        <rFont val="Corbel"/>
        <family val="2"/>
      </rPr>
      <t xml:space="preserve"> in the site (functional + non-functional)</t>
    </r>
  </si>
  <si>
    <r>
      <rPr>
        <b/>
        <u/>
        <sz val="10"/>
        <rFont val="Corbel"/>
        <family val="2"/>
      </rPr>
      <t xml:space="preserve"># of latrines repaired </t>
    </r>
    <r>
      <rPr>
        <sz val="10"/>
        <rFont val="Corbel"/>
        <family val="2"/>
      </rPr>
      <t xml:space="preserve">during the reporting period </t>
    </r>
  </si>
  <si>
    <r>
      <rPr>
        <b/>
        <sz val="10"/>
        <rFont val="Corbel"/>
        <family val="2"/>
      </rPr>
      <t xml:space="preserve">% of </t>
    </r>
    <r>
      <rPr>
        <b/>
        <u/>
        <sz val="10"/>
        <rFont val="Corbel"/>
        <family val="2"/>
      </rPr>
      <t>Open Defecation within 15ft of latrines</t>
    </r>
    <r>
      <rPr>
        <b/>
        <sz val="10"/>
        <rFont val="Corbel"/>
        <family val="2"/>
      </rPr>
      <t xml:space="preserve"> </t>
    </r>
    <r>
      <rPr>
        <sz val="10"/>
        <rFont val="Corbel"/>
        <family val="2"/>
      </rPr>
      <t>in this site</t>
    </r>
  </si>
  <si>
    <r>
      <t xml:space="preserve"># m3 of </t>
    </r>
    <r>
      <rPr>
        <b/>
        <u/>
        <sz val="10"/>
        <rFont val="Corbel"/>
        <family val="2"/>
      </rPr>
      <t>faecal sludge</t>
    </r>
    <r>
      <rPr>
        <sz val="10"/>
        <rFont val="Corbel"/>
        <family val="2"/>
      </rPr>
      <t xml:space="preserve"> removed from camp (sludge transported, treated and disposed safely)</t>
    </r>
  </si>
  <si>
    <r>
      <t xml:space="preserve">% of </t>
    </r>
    <r>
      <rPr>
        <b/>
        <u/>
        <sz val="10"/>
        <rFont val="Corbel"/>
        <family val="2"/>
      </rPr>
      <t>people (men) that feel safe</t>
    </r>
    <r>
      <rPr>
        <sz val="10"/>
        <rFont val="Corbel"/>
        <family val="2"/>
      </rPr>
      <t xml:space="preserve"> to use latrines when they need to (or at day/night)'? </t>
    </r>
  </si>
  <si>
    <r>
      <t xml:space="preserve">% of </t>
    </r>
    <r>
      <rPr>
        <b/>
        <u/>
        <sz val="10"/>
        <rFont val="Corbel"/>
        <family val="2"/>
      </rPr>
      <t>people (women) that feel safe</t>
    </r>
    <r>
      <rPr>
        <sz val="10"/>
        <rFont val="Corbel"/>
        <family val="2"/>
      </rPr>
      <t xml:space="preserve"> to use latrines when they need to (or at day/night)'? </t>
    </r>
  </si>
  <si>
    <r>
      <t xml:space="preserve">% of </t>
    </r>
    <r>
      <rPr>
        <b/>
        <u/>
        <sz val="10"/>
        <rFont val="Corbel"/>
        <family val="2"/>
      </rPr>
      <t>people (boys) that feel safe</t>
    </r>
    <r>
      <rPr>
        <sz val="10"/>
        <rFont val="Corbel"/>
        <family val="2"/>
      </rPr>
      <t xml:space="preserve"> to use latrines when they need to (or at day/night)'? </t>
    </r>
  </si>
  <si>
    <r>
      <t xml:space="preserve">% of </t>
    </r>
    <r>
      <rPr>
        <b/>
        <u/>
        <sz val="10"/>
        <rFont val="Corbel"/>
        <family val="2"/>
      </rPr>
      <t>people (girls) that feel safe</t>
    </r>
    <r>
      <rPr>
        <sz val="10"/>
        <rFont val="Corbel"/>
        <family val="2"/>
      </rPr>
      <t xml:space="preserve"> to use latrines when they need to (or at day/night)'? </t>
    </r>
  </si>
  <si>
    <r>
      <t xml:space="preserve"># of functional </t>
    </r>
    <r>
      <rPr>
        <b/>
        <u/>
        <sz val="10"/>
        <rFont val="Corbel"/>
        <family val="2"/>
      </rPr>
      <t>children latrines</t>
    </r>
    <r>
      <rPr>
        <sz val="10"/>
        <rFont val="Corbel"/>
        <family val="2"/>
      </rPr>
      <t xml:space="preserve"> that meet design requirements in the site operating during reporting period</t>
    </r>
  </si>
  <si>
    <r>
      <t>#</t>
    </r>
    <r>
      <rPr>
        <b/>
        <u/>
        <sz val="10"/>
        <rFont val="Corbel"/>
        <family val="2"/>
      </rPr>
      <t xml:space="preserve"> of persons with disabilities with adapted sanitation option</t>
    </r>
    <r>
      <rPr>
        <sz val="10"/>
        <rFont val="Corbel"/>
        <family val="2"/>
      </rPr>
      <t xml:space="preserve"> </t>
    </r>
  </si>
  <si>
    <r>
      <t xml:space="preserve">Is there </t>
    </r>
    <r>
      <rPr>
        <b/>
        <u/>
        <sz val="10"/>
        <rFont val="Corbel"/>
        <family val="2"/>
      </rPr>
      <t>an effective solid waste management system</t>
    </r>
    <r>
      <rPr>
        <b/>
        <sz val="10"/>
        <rFont val="Corbel"/>
        <family val="2"/>
      </rPr>
      <t xml:space="preserve"> </t>
    </r>
    <r>
      <rPr>
        <sz val="10"/>
        <rFont val="Corbel"/>
        <family val="2"/>
      </rPr>
      <t>in place (i.e. incinerator, community-led management system)</t>
    </r>
  </si>
  <si>
    <r>
      <t xml:space="preserve"> </t>
    </r>
    <r>
      <rPr>
        <b/>
        <u/>
        <sz val="10"/>
        <rFont val="Corbel"/>
        <family val="2"/>
      </rPr>
      <t># of people</t>
    </r>
    <r>
      <rPr>
        <sz val="10"/>
        <rFont val="Corbel"/>
        <family val="2"/>
      </rPr>
      <t xml:space="preserve"> </t>
    </r>
    <r>
      <rPr>
        <b/>
        <u/>
        <sz val="10"/>
        <rFont val="Corbel"/>
        <family val="2"/>
      </rPr>
      <t>(men)</t>
    </r>
    <r>
      <rPr>
        <sz val="10"/>
        <rFont val="Corbel"/>
        <family val="2"/>
      </rPr>
      <t xml:space="preserve"> receiving </t>
    </r>
    <r>
      <rPr>
        <b/>
        <u/>
        <sz val="10"/>
        <rFont val="Corbel"/>
        <family val="2"/>
      </rPr>
      <t>consultation, hygiene promotion messages and sessions</t>
    </r>
    <r>
      <rPr>
        <sz val="10"/>
        <rFont val="Corbel"/>
        <family val="2"/>
      </rPr>
      <t xml:space="preserve"> during reporting period</t>
    </r>
  </si>
  <si>
    <r>
      <t xml:space="preserve"> </t>
    </r>
    <r>
      <rPr>
        <b/>
        <u/>
        <sz val="10"/>
        <rFont val="Corbel"/>
        <family val="2"/>
      </rPr>
      <t># of people</t>
    </r>
    <r>
      <rPr>
        <sz val="10"/>
        <rFont val="Corbel"/>
        <family val="2"/>
      </rPr>
      <t xml:space="preserve"> </t>
    </r>
    <r>
      <rPr>
        <b/>
        <u/>
        <sz val="10"/>
        <rFont val="Corbel"/>
        <family val="2"/>
      </rPr>
      <t>(women)</t>
    </r>
    <r>
      <rPr>
        <sz val="10"/>
        <rFont val="Corbel"/>
        <family val="2"/>
      </rPr>
      <t xml:space="preserve"> receiving </t>
    </r>
    <r>
      <rPr>
        <b/>
        <u/>
        <sz val="10"/>
        <rFont val="Corbel"/>
        <family val="2"/>
      </rPr>
      <t>consultation, hygiene promotion messages and sessions</t>
    </r>
    <r>
      <rPr>
        <sz val="10"/>
        <rFont val="Corbel"/>
        <family val="2"/>
      </rPr>
      <t xml:space="preserve"> during reporting period</t>
    </r>
  </si>
  <si>
    <r>
      <t xml:space="preserve"> </t>
    </r>
    <r>
      <rPr>
        <b/>
        <u/>
        <sz val="10"/>
        <rFont val="Corbel"/>
        <family val="2"/>
      </rPr>
      <t xml:space="preserve"># of people (boys) </t>
    </r>
    <r>
      <rPr>
        <sz val="10"/>
        <rFont val="Corbel"/>
        <family val="2"/>
      </rPr>
      <t xml:space="preserve">receiving </t>
    </r>
    <r>
      <rPr>
        <b/>
        <u/>
        <sz val="10"/>
        <rFont val="Corbel"/>
        <family val="2"/>
      </rPr>
      <t>consultation, hygiene promotion messages and sessions</t>
    </r>
    <r>
      <rPr>
        <sz val="10"/>
        <rFont val="Corbel"/>
        <family val="2"/>
      </rPr>
      <t xml:space="preserve"> during reporting period</t>
    </r>
  </si>
  <si>
    <r>
      <t xml:space="preserve"> </t>
    </r>
    <r>
      <rPr>
        <b/>
        <u/>
        <sz val="10"/>
        <rFont val="Corbel"/>
        <family val="2"/>
      </rPr>
      <t># of people</t>
    </r>
    <r>
      <rPr>
        <sz val="10"/>
        <rFont val="Corbel"/>
        <family val="2"/>
      </rPr>
      <t xml:space="preserve"> </t>
    </r>
    <r>
      <rPr>
        <b/>
        <u/>
        <sz val="10"/>
        <rFont val="Corbel"/>
        <family val="2"/>
      </rPr>
      <t>(girls)</t>
    </r>
    <r>
      <rPr>
        <sz val="10"/>
        <rFont val="Corbel"/>
        <family val="2"/>
      </rPr>
      <t xml:space="preserve"> receiving </t>
    </r>
    <r>
      <rPr>
        <b/>
        <u/>
        <sz val="10"/>
        <rFont val="Corbel"/>
        <family val="2"/>
      </rPr>
      <t>consultation, hygiene promotion messages and sessions</t>
    </r>
    <r>
      <rPr>
        <sz val="10"/>
        <rFont val="Corbel"/>
        <family val="2"/>
      </rPr>
      <t xml:space="preserve"> during reporting period</t>
    </r>
  </si>
  <si>
    <r>
      <t xml:space="preserve"># of affected households receiving a </t>
    </r>
    <r>
      <rPr>
        <b/>
        <u/>
        <sz val="10"/>
        <rFont val="Corbel"/>
        <family val="2"/>
      </rPr>
      <t>sufficient quantity</t>
    </r>
    <r>
      <rPr>
        <sz val="10"/>
        <rFont val="Corbel"/>
        <family val="2"/>
      </rPr>
      <t xml:space="preserve"> of </t>
    </r>
    <r>
      <rPr>
        <b/>
        <u/>
        <sz val="10"/>
        <rFont val="Corbel"/>
        <family val="2"/>
      </rPr>
      <t>soap</t>
    </r>
    <r>
      <rPr>
        <sz val="10"/>
        <rFont val="Corbel"/>
        <family val="2"/>
      </rPr>
      <t xml:space="preserve"> during the reporting period</t>
    </r>
  </si>
  <si>
    <r>
      <t xml:space="preserve"># of affected women and girls receiving a </t>
    </r>
    <r>
      <rPr>
        <b/>
        <u/>
        <sz val="10"/>
        <rFont val="Corbel"/>
        <family val="2"/>
      </rPr>
      <t>sufficient quantity</t>
    </r>
    <r>
      <rPr>
        <sz val="10"/>
        <rFont val="Corbel"/>
        <family val="2"/>
      </rPr>
      <t xml:space="preserve"> of </t>
    </r>
    <r>
      <rPr>
        <b/>
        <u/>
        <sz val="10"/>
        <rFont val="Corbel"/>
        <family val="2"/>
      </rPr>
      <t>sanitary pads</t>
    </r>
    <r>
      <rPr>
        <sz val="10"/>
        <rFont val="Corbel"/>
        <family val="2"/>
      </rPr>
      <t xml:space="preserve"> during the reporting period</t>
    </r>
  </si>
  <si>
    <r>
      <t>% of women and girls who report that they have an adequate system for</t>
    </r>
    <r>
      <rPr>
        <b/>
        <u/>
        <sz val="10"/>
        <rFont val="Corbel"/>
        <family val="2"/>
      </rPr>
      <t xml:space="preserve"> disposing of used sanitary pads</t>
    </r>
  </si>
  <si>
    <r>
      <rPr>
        <b/>
        <u/>
        <sz val="10"/>
        <rFont val="Corbel"/>
        <family val="2"/>
      </rPr>
      <t>% of TLS/CFS with a designated place for children to wash hands</t>
    </r>
    <r>
      <rPr>
        <sz val="10"/>
        <rFont val="Corbel"/>
        <family val="2"/>
      </rPr>
      <t xml:space="preserve"> where soap is available </t>
    </r>
  </si>
  <si>
    <r>
      <rPr>
        <sz val="10"/>
        <color rgb="FFFF0000"/>
        <rFont val="Corbel"/>
        <family val="2"/>
      </rPr>
      <t xml:space="preserve">Talk to Edu partner </t>
    </r>
    <r>
      <rPr>
        <sz val="10"/>
        <rFont val="Corbel"/>
        <family val="2"/>
      </rPr>
      <t>to report since facility done by them, soap regularly given by WASH partner</t>
    </r>
  </si>
  <si>
    <r>
      <t xml:space="preserve">% of affected people surveyed who report </t>
    </r>
    <r>
      <rPr>
        <b/>
        <u/>
        <sz val="10"/>
        <rFont val="Corbel"/>
        <family val="2"/>
      </rPr>
      <t>feeling satistfied</t>
    </r>
    <r>
      <rPr>
        <sz val="10"/>
        <rFont val="Corbel"/>
        <family val="2"/>
      </rPr>
      <t xml:space="preserve"> with the latrine </t>
    </r>
    <r>
      <rPr>
        <b/>
        <u/>
        <sz val="10"/>
        <rFont val="Corbel"/>
        <family val="2"/>
      </rPr>
      <t xml:space="preserve">design and sanitation service </t>
    </r>
  </si>
  <si>
    <r>
      <t xml:space="preserve">% of affected people surveyed who report </t>
    </r>
    <r>
      <rPr>
        <b/>
        <u/>
        <sz val="10"/>
        <rFont val="Corbel"/>
        <family val="2"/>
      </rPr>
      <t>feeling satistfied</t>
    </r>
    <r>
      <rPr>
        <sz val="10"/>
        <rFont val="Corbel"/>
        <family val="2"/>
      </rPr>
      <t xml:space="preserve"> with the </t>
    </r>
    <r>
      <rPr>
        <b/>
        <u/>
        <sz val="10"/>
        <rFont val="Corbel"/>
        <family val="2"/>
      </rPr>
      <t>water point design</t>
    </r>
    <r>
      <rPr>
        <sz val="10"/>
        <rFont val="Corbel"/>
        <family val="2"/>
      </rPr>
      <t xml:space="preserve"> and </t>
    </r>
    <r>
      <rPr>
        <b/>
        <u/>
        <sz val="10"/>
        <rFont val="Corbel"/>
        <family val="2"/>
      </rPr>
      <t>water service</t>
    </r>
  </si>
  <si>
    <r>
      <t># of affected people surveyed who report</t>
    </r>
    <r>
      <rPr>
        <b/>
        <u/>
        <sz val="10"/>
        <rFont val="Corbel"/>
        <family val="2"/>
      </rPr>
      <t xml:space="preserve"> feeling informe</t>
    </r>
    <r>
      <rPr>
        <sz val="10"/>
        <rFont val="Corbel"/>
        <family val="2"/>
      </rPr>
      <t>d about the different WASH services available to them</t>
    </r>
  </si>
  <si>
    <r>
      <t xml:space="preserve">% of affected people </t>
    </r>
    <r>
      <rPr>
        <b/>
        <u/>
        <sz val="10"/>
        <rFont val="Corbel"/>
        <family val="2"/>
      </rPr>
      <t xml:space="preserve">who report handwashing at key times </t>
    </r>
    <r>
      <rPr>
        <sz val="10"/>
        <rFont val="Corbel"/>
        <family val="2"/>
      </rPr>
      <t>during reporting period</t>
    </r>
  </si>
  <si>
    <r>
      <t>% of Latrine</t>
    </r>
    <r>
      <rPr>
        <b/>
        <sz val="10"/>
        <color theme="5" tint="-0.249977111117893"/>
        <rFont val="Corbel"/>
        <family val="2"/>
      </rPr>
      <t xml:space="preserve"> Gap</t>
    </r>
    <r>
      <rPr>
        <b/>
        <sz val="10"/>
        <color theme="0"/>
        <rFont val="Corbel"/>
        <family val="2"/>
      </rPr>
      <t xml:space="preserve">
</t>
    </r>
    <r>
      <rPr>
        <b/>
        <sz val="10"/>
        <color rgb="FFFF0000"/>
        <rFont val="Corbel"/>
        <family val="2"/>
      </rPr>
      <t>Red &gt;=10%,</t>
    </r>
    <r>
      <rPr>
        <b/>
        <sz val="10"/>
        <color theme="0"/>
        <rFont val="Corbel"/>
        <family val="2"/>
      </rPr>
      <t xml:space="preserve">
</t>
    </r>
    <r>
      <rPr>
        <b/>
        <sz val="10"/>
        <color theme="5"/>
        <rFont val="Corbel"/>
        <family val="2"/>
      </rPr>
      <t>Orange 0%~9%,</t>
    </r>
    <r>
      <rPr>
        <b/>
        <sz val="10"/>
        <color theme="0"/>
        <rFont val="Corbel"/>
        <family val="2"/>
      </rPr>
      <t xml:space="preserve">
</t>
    </r>
    <r>
      <rPr>
        <b/>
        <sz val="10"/>
        <color rgb="FF00B050"/>
        <rFont val="Corbel"/>
        <family val="2"/>
      </rPr>
      <t>Green =0%</t>
    </r>
  </si>
  <si>
    <r>
      <t xml:space="preserve">% Latrines requiring  repairs/maintenance
</t>
    </r>
    <r>
      <rPr>
        <b/>
        <sz val="10"/>
        <color rgb="FFFF0000"/>
        <rFont val="Corbel"/>
        <family val="2"/>
      </rPr>
      <t>Red &gt;=10%,</t>
    </r>
    <r>
      <rPr>
        <b/>
        <sz val="10"/>
        <color theme="0"/>
        <rFont val="Corbel"/>
        <family val="2"/>
      </rPr>
      <t xml:space="preserve">
</t>
    </r>
    <r>
      <rPr>
        <b/>
        <sz val="10"/>
        <color theme="5" tint="-0.249977111117893"/>
        <rFont val="Corbel"/>
        <family val="2"/>
      </rPr>
      <t>Orange 0%~9%,</t>
    </r>
    <r>
      <rPr>
        <b/>
        <sz val="10"/>
        <color theme="0"/>
        <rFont val="Corbel"/>
        <family val="2"/>
      </rPr>
      <t xml:space="preserve">
</t>
    </r>
    <r>
      <rPr>
        <b/>
        <sz val="10"/>
        <color rgb="FF00B050"/>
        <rFont val="Corbel"/>
        <family val="2"/>
      </rPr>
      <t>Green =0%</t>
    </r>
  </si>
  <si>
    <r>
      <t xml:space="preserve">Hygiene Gap %
</t>
    </r>
    <r>
      <rPr>
        <b/>
        <sz val="10"/>
        <color rgb="FFFF0000"/>
        <rFont val="Corbel"/>
        <family val="2"/>
      </rPr>
      <t>Red &gt;=30%,</t>
    </r>
    <r>
      <rPr>
        <b/>
        <sz val="10"/>
        <color theme="0"/>
        <rFont val="Corbel"/>
        <family val="2"/>
      </rPr>
      <t xml:space="preserve">
</t>
    </r>
    <r>
      <rPr>
        <b/>
        <sz val="10"/>
        <color rgb="FFFFC000"/>
        <rFont val="Corbel"/>
        <family val="2"/>
      </rPr>
      <t>Orange 0%~29%,</t>
    </r>
    <r>
      <rPr>
        <b/>
        <sz val="10"/>
        <color theme="0"/>
        <rFont val="Corbel"/>
        <family val="2"/>
      </rPr>
      <t xml:space="preserve"> 
</t>
    </r>
    <r>
      <rPr>
        <b/>
        <sz val="10"/>
        <color theme="9" tint="-0.499984740745262"/>
        <rFont val="Corbel"/>
        <family val="2"/>
      </rPr>
      <t>Green =0%</t>
    </r>
  </si>
  <si>
    <r>
      <t># of litres of water supplied by existing water boating/trucking over90</t>
    </r>
    <r>
      <rPr>
        <b/>
        <u/>
        <sz val="10"/>
        <rFont val="Corbel"/>
        <family val="2"/>
      </rPr>
      <t xml:space="preserve"> days</t>
    </r>
    <r>
      <rPr>
        <sz val="10"/>
        <rFont val="Corbel"/>
        <family val="2"/>
      </rPr>
      <t xml:space="preserve"> to total</t>
    </r>
    <r>
      <rPr>
        <b/>
        <sz val="10"/>
        <rFont val="Corbel"/>
        <family val="2"/>
      </rPr>
      <t xml:space="preserve"> population</t>
    </r>
    <r>
      <rPr>
        <sz val="10"/>
        <rFont val="Corbel"/>
        <family val="2"/>
      </rPr>
      <t xml:space="preserve"> in the site </t>
    </r>
  </si>
  <si>
    <r>
      <t xml:space="preserve">minimum </t>
    </r>
    <r>
      <rPr>
        <b/>
        <u/>
        <sz val="10"/>
        <rFont val="Corbel"/>
        <family val="2"/>
      </rPr>
      <t>volume of water (in Litres) stored in pond</t>
    </r>
    <r>
      <rPr>
        <sz val="10"/>
        <rFont val="Corbel"/>
        <family val="2"/>
      </rPr>
      <t>s during the reporting period</t>
    </r>
  </si>
  <si>
    <t>#_litres_of_water_stored_in_ponds</t>
  </si>
  <si>
    <t>V20, 22, 23, 30</t>
  </si>
  <si>
    <t># of functional improved water sources in the site operating at the end of the reporting period
# of litres of water supplied by existing water boating/trucking over90 days to total population in the site 
minimum volume of water (in Litres) stored in ponds during the reporting period
# functional water point at TLS/CFS during reporting period</t>
  </si>
  <si>
    <r>
      <rPr>
        <b/>
        <sz val="12"/>
        <color rgb="FF2C2C2C"/>
        <rFont val="Gill Sans MT"/>
        <family val="2"/>
      </rPr>
      <t>Improved water sources:</t>
    </r>
    <r>
      <rPr>
        <sz val="12"/>
        <color rgb="FF2C2C2C"/>
        <rFont val="Gill Sans MT"/>
        <family val="2"/>
      </rPr>
      <t xml:space="preserve">Hand dug well </t>
    </r>
    <r>
      <rPr>
        <b/>
        <sz val="12"/>
        <color rgb="FF2C2C2C"/>
        <rFont val="Gill Sans MT"/>
        <family val="2"/>
      </rPr>
      <t>400</t>
    </r>
    <r>
      <rPr>
        <sz val="12"/>
        <color rgb="FF2C2C2C"/>
        <rFont val="Gill Sans MT"/>
        <family val="2"/>
      </rPr>
      <t xml:space="preserve"> PPL, Hand Pump </t>
    </r>
    <r>
      <rPr>
        <b/>
        <sz val="12"/>
        <color rgb="FF2C2C2C"/>
        <rFont val="Gill Sans MT"/>
        <family val="2"/>
      </rPr>
      <t>500</t>
    </r>
    <r>
      <rPr>
        <sz val="12"/>
        <color rgb="FF2C2C2C"/>
        <rFont val="Gill Sans MT"/>
        <family val="2"/>
      </rPr>
      <t xml:space="preserve"> PPL, Tank, Water Boating/Trucking, Distribution System, Pond = 15L/P/D : 8 hr tapstand open, 
</t>
    </r>
    <r>
      <rPr>
        <b/>
        <sz val="12"/>
        <color rgb="FF2C2C2C"/>
        <rFont val="Gill Sans MT"/>
        <family val="2"/>
      </rPr>
      <t/>
    </r>
  </si>
  <si>
    <t>V32, 41, 43</t>
  </si>
  <si>
    <t># of functional adult latrines that meet design requirements in the site operating during reporting period 
# of functional children latrines that meet design requirements in the site operating during reporting period
# of latrines in TLS/CFS</t>
  </si>
  <si>
    <r>
      <t xml:space="preserve">Camp:20PPL:1
</t>
    </r>
    <r>
      <rPr>
        <sz val="12"/>
        <color theme="1"/>
        <rFont val="Gill Sans MT"/>
        <family val="2"/>
      </rPr>
      <t xml:space="preserve">
</t>
    </r>
  </si>
  <si>
    <t>V46, 47, 48, 49, 50, 51</t>
  </si>
  <si>
    <t xml:space="preserve"># of people (men) receiving consultation, hygiene promotion messages and sessions during reporting period
 # of people (women) receiving consultation, hygiene promotion messages and sessions during reporting period
 # of people (boys) receiving consultation, hygiene promotion messages and sessions during reporting period
 # of people (girls) receiving consultation, hygiene promotion messages and sessions during reporting period
# of affected households receiving a sufficient quantity of soap during the reporting period
# of affected women and girls receiving a sufficient quantity of sanitary pads during the reporting period
</t>
  </si>
  <si>
    <t>HYGIENE Comments   
(If you have gaps or questions)</t>
  </si>
  <si>
    <t xml:space="preserve">HYGIENE_Comments  
</t>
  </si>
  <si>
    <t>SANITATION Comments   
(If you have gaps or questions)</t>
  </si>
  <si>
    <t>WATER Comments 
(If you have gaps or questions)</t>
  </si>
  <si>
    <t>% of Water samples which passed the fecal coliform test  (@ water source)</t>
  </si>
  <si>
    <t>% Water samples which passed the fecal coliform test (@ HH level)</t>
  </si>
  <si>
    <t>%of Water samples which passed at water source</t>
  </si>
  <si>
    <t>%Water samples which passed at HH</t>
  </si>
  <si>
    <t>Access to safe/improved water through improved water sources (for Camp)</t>
  </si>
  <si>
    <t>Access to safe/improved water through improved water sources</t>
  </si>
  <si>
    <t>% of women, men, boys and girls benefitting from safe/improved drinking water, meeting demand for domestic purposes, at minimum/agreed standards</t>
  </si>
  <si>
    <t>% HRP1</t>
  </si>
  <si>
    <t>handpump 500ppl, tapstand 250ppl:
Functional: Is able to provide safe water when needed
Improved: A source that by nature of its design and construction has the potential to deliver safe wate (see: https://www.who.int/water_sanitation_health/monitoring/oms_brochure_core_questionsfinal24608.pdf)</t>
  </si>
  <si>
    <t xml:space="preserve">The lowest usable water volume reached by storage ponds in the reporting period (if the water pond has dried during the reportin period, put zero).  </t>
  </si>
  <si>
    <t>Total number of water samples taken from a water source and tested for faecal coliforms during the reporting period (this value should be equal to the number samples that passed + the number that failed)</t>
  </si>
  <si>
    <t xml:space="preserve">The number of water samples taken from a water source that show less than 10 coliform forming units (CFU) per 100ml </t>
  </si>
  <si>
    <t>Total number of water samples taken from a household drinking water container and tested for faecal coliforms during the reporting period (this value should be equal to the number samples that passed + the number that failed)</t>
  </si>
  <si>
    <t xml:space="preserve">The number of water samples taken from a household drinking water container that show less than 10 coliform forming units (CFU) per 100ml </t>
  </si>
  <si>
    <t>This will report only in Q3. from PDM; Household water storage items: To be counted, each family must receive …..</t>
  </si>
  <si>
    <t>Repair time: The number of days that pass between a non-functional water point being identified and repairs being completed.  Exclude non-functional water sources that have been abandonded or decommissioned.</t>
  </si>
  <si>
    <t>The number of child friendly or temporary learning spaces with a functional and improve water point on the premises.
Functional: Is able to provide safe water when needed
Improved: A source that by nature of its design and construction has the potential to deliver safe wate (see: https://www.who.int/water_sanitation_health/monitoring/oms_brochure_core_questionsfinal24608.pdf)</t>
  </si>
  <si>
    <t>The total number of toilet structures in the camp. Regardless of whether partner or Govt built;</t>
  </si>
  <si>
    <t>Functional: A toilet that effectively containts faeces from users and the environment.  The pit must be sealed against flies and water intrusion, with no visible cracks or gaps;  The latrine pit must not be full; The superstructure must provide privacy for users, with a lock that can secure the door from the inside.  Additional desgin requirements may be defined by the cluster in the SOF.  Regardless of whether partner or Govt built, if it does not meet standards, do not count; if it meets starndarsd, then count.</t>
  </si>
  <si>
    <t xml:space="preserve">The number of non-functional latrines that have been repaired to meet the definition of functional (see above).  Each latrine should only be counted once, even if it has been repaired multiple times during the reporting period.  </t>
  </si>
  <si>
    <t>The percentage of total toilet structures where faeces are observed within 15ft (5m) at the end of the reporting period</t>
  </si>
  <si>
    <t>The total volume of faecal sludge removed from latrine pits that is treated and disposed in a controlled and safe way, without risking environmental contamination.</t>
  </si>
  <si>
    <t>The percentage of men who report feeling safe to use latrines during the night and the day</t>
  </si>
  <si>
    <t>The percentage of women who report feeling safe to use latrines during the night and the day</t>
  </si>
  <si>
    <t>The percentage of boys (male &lt;18) who report feeling safe to use latrines during the night and the day</t>
  </si>
  <si>
    <t>The percentage of girls (age &lt;18) who report feeling safe to use latrines during the night and the day</t>
  </si>
  <si>
    <t>Design requirements for childrens latrines: drop hole diameter &lt; Xmm, step height &lt; Xmm…</t>
  </si>
  <si>
    <t># of people with disabilities provided with a way of disposing of their faeces in a safe and acceptable way (i.e. container based sanitation with commode chair or specifically adapted toilet).  This should be reported with the total number of disabled people identified in that site.</t>
  </si>
  <si>
    <t>Minimum number of functional child-friendly toilets for a CLS/TLS: 1:30 girls and 1:60 boys</t>
  </si>
  <si>
    <t>Effective: A planned system that regularly removes solid waste from living areas and disposes it in a way that minimises environmental contamination and the presence of insect and animal disease vectors</t>
  </si>
  <si>
    <t>The number of men who attend focus group sessions, community meetings and hygiene awareness sessions (excluding mass campaigns).  Count unique beneficiaries (each person should only be counted once).</t>
  </si>
  <si>
    <t>The number of women who attend focus group sessions, community meetings and hygiene awareness sessions (excluding mass campaigns).  Count unique beneficiaries (each person should only be counted once).</t>
  </si>
  <si>
    <t>The number of boys (&lt;18) who attend focus group sessions, community meetings and hygiene awareness sessions (excluding mass campaigns).  Count unique beneficiaries (each person should only be counted once).</t>
  </si>
  <si>
    <t>The number of girls (&lt;18) who attend focus group sessions, community meetings and hygiene awareness sessions (excluding mass campaigns).  Count unique beneficiaries (each person should only be counted once).</t>
  </si>
  <si>
    <t>Sufficient quantity: At least 250g / person / month bathing and 200g / person / month laundry soap distributed at least every three months</t>
  </si>
  <si>
    <t>Sufficient quantity: At least 15 pads per female of menstruating age per month, distributed at least once every three months (in addition to at least 6 pairs of underwear per year and 250g soap per month per women / girl)</t>
  </si>
  <si>
    <t>Adequate system: A method for disposing of sanitary pads that is acceptable to users</t>
  </si>
  <si>
    <t>Key times: before touching food (eating, preparing food or feeding a child) and after contact with excreta (after using the toilet or cleaning a child’s bottom)</t>
  </si>
  <si>
    <t>% of households observed with a place to WASH hands with soap present</t>
  </si>
  <si>
    <t>%_of_households_observed_with_a_place_to_WASH_hands_with_soap_present</t>
  </si>
  <si>
    <r>
      <t xml:space="preserve">% of households observed with a place to </t>
    </r>
    <r>
      <rPr>
        <b/>
        <u/>
        <sz val="10"/>
        <rFont val="Corbel"/>
        <family val="2"/>
      </rPr>
      <t>WASH hands with soap present</t>
    </r>
  </si>
  <si>
    <t>% of targeted women, men, boys and girls benefitting from a functional excreta disposal system, reducing safety/public health/environmental risks</t>
  </si>
  <si>
    <t>% HRP2</t>
  </si>
  <si>
    <t>Ah Nauk Ywe Total</t>
  </si>
  <si>
    <t>Basare Total</t>
  </si>
  <si>
    <t>Baw Du Pha 1 Total</t>
  </si>
  <si>
    <t>Baw Du Pha 2 Total</t>
  </si>
  <si>
    <t>Dar Pai Total</t>
  </si>
  <si>
    <t>Dar Pai (IDP in host families) Total</t>
  </si>
  <si>
    <t>Kyauk Ta Lone Total</t>
  </si>
  <si>
    <t>Kyein Ni Pyin Total</t>
  </si>
  <si>
    <t>Maw Ti Ngar Total</t>
  </si>
  <si>
    <t>Nget Chaung 1 Total</t>
  </si>
  <si>
    <t>Nget Chaung 2 Total</t>
  </si>
  <si>
    <t>NiDin Total</t>
  </si>
  <si>
    <t>Ohn Taw Chay Total</t>
  </si>
  <si>
    <t>Ohn Taw Gyi (North) Total</t>
  </si>
  <si>
    <t>Ohn Taw Gyi (South) Total</t>
  </si>
  <si>
    <t>Say Tha Mar Gyi Total</t>
  </si>
  <si>
    <t>Sin Tet Maw Total</t>
  </si>
  <si>
    <t>Taung Paw Total</t>
  </si>
  <si>
    <t>Thae Chaung Total</t>
  </si>
  <si>
    <t>Thet Kae Pyin  Total</t>
  </si>
  <si>
    <t>Thet Kae Pyin Village (IDPs in host family) Total</t>
  </si>
  <si>
    <t>Khaung Doke Khar 2 (Hmanzi) Total</t>
  </si>
  <si>
    <t>Khaung Doke Khar 1 Total</t>
  </si>
  <si>
    <t>Phwe Yar Kone (Say Tha Mar Gyi) Total</t>
  </si>
  <si>
    <t>Baw Du Pha Village (IDP in host families) Total</t>
  </si>
  <si>
    <t>Count of #_Water samples_Tested_at_water_source</t>
  </si>
  <si>
    <t>Sum of #_Water samples_Tested_at_water_source2</t>
  </si>
  <si>
    <t>Sum of #_Water samples _passed_at_water source</t>
  </si>
  <si>
    <t xml:space="preserve"> # Passed</t>
  </si>
  <si>
    <t>Count of #_Water samples_Tested_at_HH</t>
  </si>
  <si>
    <t>Sum of #_Water samples_Tested_at_HH2</t>
  </si>
  <si>
    <t>Count of #_Water samples _passed_at_HH</t>
  </si>
  <si>
    <t>Sum of #_latrines_repaired</t>
  </si>
  <si>
    <t>Sum of #_Existing_latrines</t>
  </si>
  <si>
    <t>Sum of #_Functional_adult_latrines</t>
  </si>
  <si>
    <t>Sum of #_of_PWD_with_adapted_sanitation_option</t>
  </si>
  <si>
    <t>Sum of #_of_functional_children_latrines</t>
  </si>
  <si>
    <t>in this days there is no using water point execting there but distribution from water point.</t>
  </si>
  <si>
    <t>Hand washing with soap activity, to get safe water from mixing with chlorine tablets, personal grooming and hygiene activities, good practice of waste management system</t>
  </si>
  <si>
    <t>Camp Managemtnt Committee members, some Volunteers will maintain and repair WASH facilities.</t>
  </si>
  <si>
    <t>According to the water analysis, 
the contamination of (16%)water source is higher than household level(14%)</t>
  </si>
  <si>
    <t>According to the water analysis, 
the contamination of (16%)water source is less than household level(33%)</t>
  </si>
  <si>
    <t xml:space="preserve">According to the report, 50% of open defecation occurred and emptied of the pits are less than demands. Two of delduging activities were delayed due to the landowner issues faced by partner.
</t>
  </si>
  <si>
    <t xml:space="preserve">According to the report, assuming that emptied of the pits are met demands.
</t>
  </si>
  <si>
    <t>Operation and maintenance</t>
  </si>
  <si>
    <t>DRC,CMCs</t>
  </si>
  <si>
    <t>Their main concern is that INGO/NGO would leave from their camp and they would have no more access to humanitarian live-saving aids after camp closure.</t>
  </si>
  <si>
    <t>WASH committee and sub-group of skilled workers. They however still need capacities to manage WASH services and facilities.</t>
  </si>
  <si>
    <t>Overall HRP reached</t>
  </si>
  <si>
    <t>PWD_Male</t>
  </si>
  <si>
    <t>PWD_Female</t>
  </si>
  <si>
    <t>PWD_Total</t>
  </si>
  <si>
    <t># of Male_People with disabilities</t>
  </si>
  <si>
    <t># of Female_People with disabilities</t>
  </si>
  <si>
    <t># of Total_People with disabilities</t>
  </si>
  <si>
    <t>Average of %_of_Men_that_feel_safe_to_use_latrines_when_they_need_to_(or_at_day/night)'?</t>
  </si>
  <si>
    <t>Average of %_of_Women_that_feel_safe_to_use_latrines_when_they_need_to_(or_at_day/night)?</t>
  </si>
  <si>
    <t>Average of %_of_Boys_that_feel_safe_to_use_latrines_when_they_need_to_(or_at_day/night)?</t>
  </si>
  <si>
    <t>Average of %_of_Girlss_that_feel_safe_to_use_latrines_when_they_need_to_(or_at_day/night)?</t>
  </si>
  <si>
    <t>Safe</t>
  </si>
  <si>
    <t>Unsafe</t>
  </si>
  <si>
    <t>Status</t>
  </si>
  <si>
    <t>Men</t>
  </si>
  <si>
    <t>Women</t>
  </si>
  <si>
    <t>Boys</t>
  </si>
  <si>
    <t>Girls</t>
  </si>
  <si>
    <t>Count of Is_there_an_effective_solid_waste_management_system_in_place?</t>
  </si>
  <si>
    <t>Sum of #_students at TLS_CFS</t>
  </si>
  <si>
    <t>Sum of #_of_latrines_in_TLS/CFS</t>
  </si>
  <si>
    <t>Total Required Latrines</t>
  </si>
  <si>
    <t>Latrine Gap</t>
  </si>
  <si>
    <t>Latrines in TLS/CFS</t>
  </si>
  <si>
    <t>Sum of # of Total_People with disabilities</t>
  </si>
  <si>
    <t># People with disabilities</t>
  </si>
  <si>
    <t>No access to adapted sanitation option</t>
  </si>
  <si>
    <t>Access to adapted sanitation option</t>
  </si>
  <si>
    <t>Sum of #_of_affected_households_receiving_a_sufficient_quantity_of_soap</t>
  </si>
  <si>
    <t>Sum of #_of_affected_women_and_girls_receiving_a_sufficient_quantity_of_sanitary_pads</t>
  </si>
  <si>
    <t>Average of %_of_women_and_girls_who_report_that_they_have_an_adequate_system_for_disposing_of_used_sanitary_pads</t>
  </si>
  <si>
    <t>Average of %_of_affected_people_who_report_handwashing_at_key_times</t>
  </si>
  <si>
    <t>Average of %_of_households_observed_with_a_place_to_WASH_hands_with_soap_present</t>
  </si>
  <si>
    <t xml:space="preserve"> % of women and girls who report that they have an adequate system for disposing of used sanitary pads</t>
  </si>
  <si>
    <t xml:space="preserve"> % of affected people who report handwashing at key times</t>
  </si>
  <si>
    <t xml:space="preserve"> % of households observed with a place to WASH hands with soap present</t>
  </si>
  <si>
    <t>Average of %_of_TLS/CFS_with_a_designated_place_for_children_to_wash_hands_where_soap_is_available</t>
  </si>
  <si>
    <t xml:space="preserve"> # Functional water points in TLS/CFS</t>
  </si>
  <si>
    <t>2019 Q2</t>
  </si>
  <si>
    <t>Average of % of TLS/CFS with a designated place for children to wash hands where soap is available</t>
  </si>
  <si>
    <t>AAP</t>
  </si>
  <si>
    <t>Average of %_of_complaints_received_that_result_in_timely_corrective_action_and_feedback_to_the_community</t>
  </si>
  <si>
    <t>Average of %_of_affected_people_surveyed_who_report_feeling_satistfied_with_the_latrine_design_and_sanitation_service</t>
  </si>
  <si>
    <t>Average of %_of_affected_people_surveyed_who_report_feeling_satistfied_with_the_water_point_design_and_water_service</t>
  </si>
  <si>
    <t>% of affected people surveyed who report feeling satistfied with the latrine design and sanitation service</t>
  </si>
  <si>
    <t>% of affected people surveyed who report feeling satistfied with the water point design and water service</t>
  </si>
  <si>
    <t>% of complaints received that result in timely corrective action and feedback to the community</t>
  </si>
  <si>
    <t>2019-2nd Qtr 4W Camp DASHBOARD</t>
  </si>
  <si>
    <t>DRC, OXSI (Oxfam), OXSI (SI)</t>
  </si>
  <si>
    <t>Average of Avg_repair_time for_water_points_# days</t>
  </si>
  <si>
    <t>WATER_17. Water issues/challenges (Community Feedback)</t>
  </si>
  <si>
    <t>Water storage container is not enough for the population.</t>
  </si>
  <si>
    <t>Water shortage issue</t>
  </si>
  <si>
    <t>Far from water sources</t>
  </si>
  <si>
    <t>General_state</t>
  </si>
  <si>
    <t>Sanitation_23. Sanitation issues/challenges (Community Feedback)</t>
  </si>
  <si>
    <t>No enough water for latrine cleaning. SI hired the cleaner for cleaning latrines and they worked two days per month. The community requested to do latrine cleaning more frequently.</t>
  </si>
  <si>
    <t>Water is not availabe near the latrines and most of the IDPs do not use latrines.</t>
  </si>
  <si>
    <t>Water is not available near latrines and hand washing stations are not also available.</t>
  </si>
  <si>
    <t>All latrines are built on low land at the bottom of a slope and therefore quickly flooded when it rains. When there is heavy rain, the pits tends to overflow. There are no handwashing facilities.</t>
  </si>
  <si>
    <t>There is no additional space for digging new pits. The host family (religious leader) has plan to construct the latrines with concrete structure and the pit has been done. They don't have enough money and materials to construct superstructure and requested to organizations if they can support!</t>
  </si>
  <si>
    <t>Hygiene_29. Hygiene Issues/Challenges (Community Feedback)</t>
  </si>
  <si>
    <t>No enough water for personal hygiene and most women and girls cannot bath daily.</t>
  </si>
  <si>
    <t>Sanitary pads are not enough for the HHs with more than one female.</t>
  </si>
  <si>
    <t>Women group requested underwears.</t>
  </si>
  <si>
    <t>There is no private bathing space, which is particularly a concern for women and girls</t>
  </si>
  <si>
    <t>Community Feedback (Q2-2019) from Cluster Team Monitoring</t>
  </si>
  <si>
    <t>Average of %_of_OD_within_15ft_of_latrines</t>
  </si>
  <si>
    <t>Sum of #_m3_of_faecal_sludge_removed_from_camp</t>
  </si>
  <si>
    <t>receiving_consultation_hygiene_promotion_messages_and_sessions</t>
  </si>
  <si>
    <t>No reached</t>
  </si>
  <si>
    <t>Reached</t>
  </si>
  <si>
    <t xml:space="preserve"> Total PoP </t>
  </si>
  <si>
    <t>No Reached</t>
  </si>
  <si>
    <t>Sum of #_ paid camp based WASH skilled labor</t>
  </si>
  <si>
    <t>Sum of #_paid camp based unskilled WASH unskilled labor</t>
  </si>
  <si>
    <t>Sum of #_men on camp WASH team</t>
  </si>
  <si>
    <t>Sum of #_women on camp WASH team</t>
  </si>
  <si>
    <t xml:space="preserve">RAKHINE STATE - IDP sites  (2019 - Qtr 2 - 4W Analysis, as of 30 June 2019) </t>
  </si>
  <si>
    <t>WASH Cluster is seeking DPH and Health Cluster approval for presenting Health data in this snapshot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</si>
</sst>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_(* #,##0_);_(* \(#,##0\);_(* &quot;-&quot;??_);_(@_)"/>
    <numFmt numFmtId="165" formatCode="[$-409]d\-mmm\-yy;@"/>
    <numFmt numFmtId="166" formatCode="[$-409]d/mmm/yy;@"/>
    <numFmt numFmtId="167" formatCode="yyyy/mm/dd"/>
    <numFmt numFmtId="168" formatCode="[$-409]d\-mmm\-yyyy;@"/>
  </numFmts>
  <fonts count="142">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font>
    <font>
      <sz val="12"/>
      <color theme="1"/>
      <name val="Times New Roman"/>
      <family val="2"/>
    </font>
    <font>
      <sz val="11"/>
      <color theme="1"/>
      <name val="Calibri"/>
      <family val="2"/>
      <scheme val="minor"/>
    </font>
    <font>
      <b/>
      <sz val="9"/>
      <color indexed="81"/>
      <name val="Tahoma"/>
      <family val="2"/>
    </font>
    <font>
      <sz val="9"/>
      <color indexed="81"/>
      <name val="Tahoma"/>
      <family val="2"/>
    </font>
    <font>
      <b/>
      <sz val="10"/>
      <color rgb="FFFFFFFF"/>
      <name val="Corbel"/>
      <family val="2"/>
    </font>
    <font>
      <sz val="10"/>
      <color rgb="FF2C2C2C"/>
      <name val="Corbel"/>
      <family val="2"/>
    </font>
    <font>
      <b/>
      <sz val="12"/>
      <color theme="1"/>
      <name val="Gill Sans MT"/>
      <family val="2"/>
    </font>
    <font>
      <sz val="12"/>
      <color theme="1"/>
      <name val="Gill Sans MT"/>
      <family val="2"/>
    </font>
    <font>
      <b/>
      <sz val="10"/>
      <color rgb="FF2C2C2C"/>
      <name val="Corbel"/>
      <family val="2"/>
    </font>
    <font>
      <sz val="12"/>
      <color rgb="FF2C2C2C"/>
      <name val="Gill Sans MT"/>
      <family val="2"/>
    </font>
    <font>
      <b/>
      <sz val="11"/>
      <color theme="1"/>
      <name val="Calibri"/>
      <family val="2"/>
      <scheme val="minor"/>
    </font>
    <font>
      <sz val="10"/>
      <color theme="1"/>
      <name val="Corbel"/>
      <family val="2"/>
    </font>
    <font>
      <sz val="10"/>
      <name val="Corbel"/>
      <family val="2"/>
    </font>
    <font>
      <sz val="10"/>
      <color theme="1"/>
      <name val="Calibri"/>
      <family val="2"/>
      <scheme val="minor"/>
    </font>
    <font>
      <b/>
      <sz val="10"/>
      <name val="Corbel"/>
      <family val="2"/>
    </font>
    <font>
      <b/>
      <sz val="14"/>
      <color theme="0"/>
      <name val="Corbel"/>
      <family val="2"/>
    </font>
    <font>
      <sz val="12"/>
      <color theme="1"/>
      <name val="Corbel"/>
      <family val="2"/>
    </font>
    <font>
      <b/>
      <sz val="18"/>
      <color theme="0"/>
      <name val="Calibri"/>
      <family val="2"/>
      <scheme val="minor"/>
    </font>
    <font>
      <sz val="18"/>
      <color theme="0"/>
      <name val="Calibri"/>
      <family val="2"/>
    </font>
    <font>
      <b/>
      <sz val="18"/>
      <color theme="0"/>
      <name val="Calibri"/>
      <family val="2"/>
    </font>
    <font>
      <b/>
      <sz val="12"/>
      <color theme="0"/>
      <name val="Corbel"/>
      <family val="2"/>
    </font>
    <font>
      <sz val="12"/>
      <color theme="0"/>
      <name val="Corbel"/>
      <family val="2"/>
    </font>
    <font>
      <b/>
      <sz val="10"/>
      <color rgb="FFFF0000"/>
      <name val="Corbel"/>
      <family val="2"/>
    </font>
    <font>
      <b/>
      <sz val="11"/>
      <color theme="0"/>
      <name val="Corbel"/>
      <family val="2"/>
    </font>
    <font>
      <b/>
      <sz val="11"/>
      <color rgb="FFFF0000"/>
      <name val="Corbel"/>
      <family val="2"/>
    </font>
    <font>
      <b/>
      <sz val="12"/>
      <color theme="1"/>
      <name val="Times New Roman"/>
      <family val="1"/>
    </font>
    <font>
      <b/>
      <sz val="11"/>
      <color theme="9" tint="-0.499984740745262"/>
      <name val="Corbel"/>
      <family val="2"/>
    </font>
    <font>
      <sz val="10"/>
      <color indexed="8"/>
      <name val="Arial"/>
      <family val="2"/>
    </font>
    <font>
      <sz val="10"/>
      <color rgb="FF2C2C2C"/>
      <name val="Calibri"/>
      <family val="2"/>
      <scheme val="minor"/>
    </font>
    <font>
      <sz val="10"/>
      <color indexed="8"/>
      <name val="Calibri"/>
      <family val="2"/>
      <scheme val="minor"/>
    </font>
    <font>
      <b/>
      <sz val="10"/>
      <color theme="0" tint="-0.249977111117893"/>
      <name val="Corbel"/>
      <family val="2"/>
    </font>
    <font>
      <sz val="10"/>
      <color theme="0" tint="-0.249977111117893"/>
      <name val="Corbel"/>
      <family val="2"/>
    </font>
    <font>
      <sz val="11"/>
      <color rgb="FF006100"/>
      <name val="Calibri"/>
      <family val="2"/>
    </font>
    <font>
      <sz val="11"/>
      <color rgb="FF9C0006"/>
      <name val="Calibri"/>
      <family val="2"/>
    </font>
    <font>
      <b/>
      <sz val="11"/>
      <color rgb="FF006100"/>
      <name val="Calibri"/>
      <family val="2"/>
      <scheme val="minor"/>
    </font>
    <font>
      <b/>
      <sz val="11"/>
      <color rgb="FF9C0006"/>
      <name val="Calibri"/>
      <family val="2"/>
      <scheme val="minor"/>
    </font>
    <font>
      <b/>
      <sz val="15"/>
      <color theme="0"/>
      <name val="Corbel"/>
      <family val="2"/>
    </font>
    <font>
      <sz val="10"/>
      <color theme="4" tint="0.59999389629810485"/>
      <name val="Corbel"/>
      <family val="2"/>
    </font>
    <font>
      <sz val="10"/>
      <color theme="5" tint="0.79998168889431442"/>
      <name val="Corbel"/>
      <family val="2"/>
    </font>
    <font>
      <sz val="10"/>
      <color rgb="FF92D050"/>
      <name val="Corbel"/>
      <family val="2"/>
    </font>
    <font>
      <sz val="11"/>
      <color theme="4" tint="0.79998168889431442"/>
      <name val="Calibri"/>
      <family val="2"/>
      <scheme val="minor"/>
    </font>
    <font>
      <sz val="10"/>
      <color rgb="FFFF0000"/>
      <name val="Corbel"/>
      <family val="2"/>
    </font>
    <font>
      <sz val="11"/>
      <color theme="5" tint="0.79998168889431442"/>
      <name val="Calibri"/>
      <family val="2"/>
      <scheme val="minor"/>
    </font>
    <font>
      <sz val="11"/>
      <color theme="9" tint="0.79998168889431442"/>
      <name val="Calibri"/>
      <family val="2"/>
      <scheme val="minor"/>
    </font>
    <font>
      <sz val="9"/>
      <color theme="1"/>
      <name val="Corbel"/>
      <family val="2"/>
    </font>
    <font>
      <sz val="9"/>
      <color rgb="FF2C2C2C"/>
      <name val="Corbel"/>
      <family val="2"/>
    </font>
    <font>
      <sz val="9"/>
      <name val="Corbel"/>
      <family val="2"/>
    </font>
    <font>
      <sz val="12"/>
      <color theme="1"/>
      <name val="Calibri"/>
      <family val="2"/>
      <scheme val="minor"/>
    </font>
    <font>
      <b/>
      <sz val="12"/>
      <color theme="1"/>
      <name val="Calibri"/>
      <family val="2"/>
      <scheme val="minor"/>
    </font>
    <font>
      <b/>
      <sz val="15"/>
      <color theme="3"/>
      <name val="Calibri"/>
      <family val="2"/>
      <scheme val="minor"/>
    </font>
    <font>
      <sz val="14"/>
      <color theme="1"/>
      <name val="Calibri"/>
      <family val="2"/>
      <scheme val="minor"/>
    </font>
    <font>
      <b/>
      <sz val="20"/>
      <color theme="0"/>
      <name val="Corbel"/>
      <family val="2"/>
    </font>
    <font>
      <sz val="10"/>
      <name val="Calibri"/>
      <family val="2"/>
      <scheme val="minor"/>
    </font>
    <font>
      <sz val="12"/>
      <color theme="0"/>
      <name val="Calibri"/>
      <family val="2"/>
      <scheme val="minor"/>
    </font>
    <font>
      <sz val="12"/>
      <color rgb="FF2C2C2C"/>
      <name val="Calibri"/>
      <family val="2"/>
      <scheme val="minor"/>
    </font>
    <font>
      <b/>
      <sz val="12"/>
      <color rgb="FF000000"/>
      <name val="Calibri"/>
      <family val="2"/>
      <scheme val="minor"/>
    </font>
    <font>
      <b/>
      <sz val="12"/>
      <color rgb="FFFF0000"/>
      <name val="Calibri"/>
      <family val="2"/>
      <scheme val="minor"/>
    </font>
    <font>
      <b/>
      <sz val="14"/>
      <color theme="1"/>
      <name val="Calibri"/>
      <family val="2"/>
      <scheme val="minor"/>
    </font>
    <font>
      <b/>
      <sz val="20"/>
      <color theme="0"/>
      <name val="Calibri"/>
      <family val="2"/>
      <scheme val="minor"/>
    </font>
    <font>
      <b/>
      <sz val="14"/>
      <color theme="0"/>
      <name val="Calibri"/>
      <family val="2"/>
      <scheme val="minor"/>
    </font>
    <font>
      <b/>
      <sz val="11"/>
      <color theme="0"/>
      <name val="Calibri"/>
      <family val="2"/>
      <scheme val="minor"/>
    </font>
    <font>
      <sz val="11"/>
      <color theme="1"/>
      <name val="Times New Roman"/>
      <family val="2"/>
    </font>
    <font>
      <sz val="11"/>
      <color theme="4" tint="-0.249977111117893"/>
      <name val="Calibri"/>
      <family val="2"/>
      <scheme val="minor"/>
    </font>
    <font>
      <sz val="11"/>
      <color theme="5" tint="-0.249977111117893"/>
      <name val="Calibri"/>
      <family val="2"/>
      <scheme val="minor"/>
    </font>
    <font>
      <sz val="11"/>
      <color theme="0"/>
      <name val="Calibri"/>
      <family val="2"/>
      <scheme val="minor"/>
    </font>
    <font>
      <b/>
      <i/>
      <sz val="11"/>
      <color theme="1"/>
      <name val="Calibri"/>
      <family val="2"/>
      <scheme val="minor"/>
    </font>
    <font>
      <b/>
      <sz val="12"/>
      <color theme="0"/>
      <name val="Calibri"/>
      <family val="2"/>
      <scheme val="minor"/>
    </font>
    <font>
      <sz val="10"/>
      <color theme="1"/>
      <name val="Calibri"/>
      <family val="2"/>
      <scheme val="minor"/>
    </font>
    <font>
      <sz val="11"/>
      <color indexed="8"/>
      <name val="Calibri"/>
      <family val="2"/>
      <scheme val="minor"/>
    </font>
    <font>
      <b/>
      <sz val="12"/>
      <color rgb="FFFF0000"/>
      <name val="Corbel"/>
      <family val="2"/>
    </font>
    <font>
      <b/>
      <sz val="11"/>
      <color theme="5"/>
      <name val="Corbel"/>
      <family val="2"/>
    </font>
    <font>
      <b/>
      <sz val="12"/>
      <color theme="1"/>
      <name val="Times New Roman"/>
      <family val="2"/>
    </font>
    <font>
      <b/>
      <sz val="16"/>
      <color theme="0"/>
      <name val="Calibri"/>
      <family val="2"/>
      <scheme val="minor"/>
    </font>
    <font>
      <sz val="11"/>
      <name val="Calibri"/>
      <family val="2"/>
      <scheme val="minor"/>
    </font>
    <font>
      <b/>
      <i/>
      <u/>
      <sz val="11"/>
      <color theme="1"/>
      <name val="Calibri"/>
      <family val="2"/>
      <scheme val="minor"/>
    </font>
    <font>
      <sz val="10"/>
      <color theme="1"/>
      <name val="Calibri"/>
      <family val="2"/>
      <scheme val="minor"/>
    </font>
    <font>
      <sz val="10"/>
      <color theme="1"/>
      <name val="Calibri"/>
      <family val="2"/>
      <scheme val="minor"/>
    </font>
    <font>
      <b/>
      <u/>
      <sz val="10"/>
      <color rgb="FFFF0000"/>
      <name val="Corbel"/>
      <family val="2"/>
    </font>
    <font>
      <b/>
      <sz val="12"/>
      <color rgb="FF2C2C2C"/>
      <name val="Gill Sans MT"/>
      <family val="2"/>
    </font>
    <font>
      <sz val="9"/>
      <name val="zawgyi1"/>
      <family val="2"/>
    </font>
    <font>
      <sz val="9"/>
      <color theme="0"/>
      <name val="Corbel"/>
      <family val="2"/>
    </font>
    <font>
      <b/>
      <sz val="12"/>
      <color rgb="FFFFFFFF"/>
      <name val="Corbel"/>
      <family val="2"/>
    </font>
    <font>
      <sz val="10"/>
      <name val="zawgyi1"/>
      <family val="2"/>
    </font>
    <font>
      <sz val="10"/>
      <name val="Zawgyi-One"/>
      <family val="2"/>
    </font>
    <font>
      <sz val="9"/>
      <name val="Zawgyi-One"/>
      <family val="2"/>
    </font>
    <font>
      <b/>
      <sz val="10"/>
      <name val="Zawgyi-One"/>
      <family val="2"/>
    </font>
    <font>
      <sz val="8"/>
      <color theme="1"/>
      <name val="zawgyi1"/>
      <family val="2"/>
    </font>
    <font>
      <b/>
      <sz val="8"/>
      <color theme="0"/>
      <name val="zawgyi1"/>
      <family val="2"/>
    </font>
    <font>
      <b/>
      <sz val="8"/>
      <name val="zawgyi1"/>
      <family val="2"/>
    </font>
    <font>
      <sz val="18"/>
      <name val="Corbel"/>
      <family val="2"/>
    </font>
    <font>
      <sz val="11"/>
      <name val="Calibri"/>
      <family val="2"/>
    </font>
    <font>
      <sz val="18"/>
      <name val="zawgyi1"/>
      <family val="2"/>
    </font>
    <font>
      <sz val="11"/>
      <name val="zawgyi1"/>
      <family val="2"/>
    </font>
    <font>
      <sz val="8"/>
      <color rgb="FF2C2C2C"/>
      <name val="Zawgyi-One"/>
      <family val="2"/>
    </font>
    <font>
      <sz val="8"/>
      <name val="Zawgyi-One"/>
      <family val="2"/>
    </font>
    <font>
      <sz val="8"/>
      <color theme="1"/>
      <name val="Zawgyi-One"/>
      <family val="2"/>
    </font>
    <font>
      <b/>
      <sz val="10"/>
      <color theme="0"/>
      <name val="Corbel"/>
      <family val="2"/>
    </font>
    <font>
      <b/>
      <sz val="14"/>
      <color theme="0"/>
      <name val="zawgyi1"/>
      <family val="2"/>
    </font>
    <font>
      <b/>
      <sz val="14"/>
      <color rgb="FFFFC000"/>
      <name val="zawgyi1"/>
      <family val="2"/>
    </font>
    <font>
      <sz val="10"/>
      <color rgb="FF2C2C2C"/>
      <name val="Corbel"/>
      <family val="2"/>
    </font>
    <font>
      <sz val="12"/>
      <color theme="0"/>
      <name val="Times New Roman"/>
      <family val="2"/>
    </font>
    <font>
      <sz val="12"/>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sz val="10"/>
      <color theme="1"/>
      <name val="Calibri"/>
      <family val="2"/>
      <scheme val="minor"/>
    </font>
    <font>
      <b/>
      <u/>
      <sz val="10"/>
      <name val="Corbel"/>
      <family val="2"/>
    </font>
    <font>
      <sz val="10"/>
      <color theme="0"/>
      <name val="Corbel"/>
      <family val="2"/>
    </font>
    <font>
      <sz val="9"/>
      <name val="Crobel"/>
    </font>
    <font>
      <b/>
      <sz val="10"/>
      <color rgb="FF0070C0"/>
      <name val="Corbel"/>
      <family val="2"/>
    </font>
    <font>
      <b/>
      <sz val="10"/>
      <color theme="5" tint="-0.249977111117893"/>
      <name val="Corbel"/>
      <family val="2"/>
    </font>
    <font>
      <b/>
      <sz val="10"/>
      <color theme="5"/>
      <name val="Corbel"/>
      <family val="2"/>
    </font>
    <font>
      <b/>
      <sz val="10"/>
      <color rgb="FF00B050"/>
      <name val="Corbel"/>
      <family val="2"/>
    </font>
    <font>
      <b/>
      <sz val="10"/>
      <color rgb="FFFFC000"/>
      <name val="Corbel"/>
      <family val="2"/>
    </font>
    <font>
      <b/>
      <sz val="10"/>
      <color theme="9" tint="-0.499984740745262"/>
      <name val="Corbel"/>
      <family val="2"/>
    </font>
    <font>
      <b/>
      <sz val="12"/>
      <name val="Calibri"/>
      <family val="2"/>
      <scheme val="minor"/>
    </font>
    <font>
      <sz val="11"/>
      <color theme="9" tint="-0.249977111117893"/>
      <name val="Calibri"/>
      <family val="2"/>
      <scheme val="minor"/>
    </font>
    <font>
      <b/>
      <sz val="11"/>
      <color theme="1"/>
      <name val="Calibri"/>
      <family val="2"/>
      <scheme val="minor"/>
    </font>
    <font>
      <sz val="11"/>
      <color theme="4" tint="-0.249977111117893"/>
      <name val="Calibri"/>
      <family val="2"/>
      <scheme val="minor"/>
    </font>
    <font>
      <sz val="11"/>
      <color theme="6" tint="-0.249977111117893"/>
      <name val="Calibri"/>
      <family val="2"/>
      <scheme val="minor"/>
    </font>
    <font>
      <b/>
      <sz val="11"/>
      <color theme="6" tint="-0.249977111117893"/>
      <name val="Calibri"/>
      <family val="2"/>
      <scheme val="minor"/>
    </font>
    <font>
      <sz val="9"/>
      <color indexed="81"/>
      <name val="Tahoma"/>
    </font>
    <font>
      <b/>
      <sz val="9"/>
      <color indexed="81"/>
      <name val="Tahoma"/>
    </font>
    <font>
      <sz val="12"/>
      <color theme="1"/>
      <name val="Calibri"/>
      <scheme val="minor"/>
    </font>
    <font>
      <sz val="12"/>
      <color theme="0"/>
      <name val="Calibri"/>
      <scheme val="minor"/>
    </font>
    <font>
      <sz val="12"/>
      <name val="Calibri"/>
      <scheme val="minor"/>
    </font>
    <font>
      <sz val="11"/>
      <color theme="1"/>
      <name val="Calibri"/>
      <scheme val="minor"/>
    </font>
    <font>
      <b/>
      <sz val="11"/>
      <color theme="0"/>
      <name val="Calibri"/>
      <scheme val="minor"/>
    </font>
    <font>
      <b/>
      <i/>
      <sz val="10"/>
      <color theme="1"/>
      <name val="Calibri"/>
      <family val="2"/>
      <scheme val="minor"/>
    </font>
  </fonts>
  <fills count="58">
    <fill>
      <patternFill patternType="none"/>
    </fill>
    <fill>
      <patternFill patternType="gray125"/>
    </fill>
    <fill>
      <patternFill patternType="solid">
        <fgColor rgb="FFFFC000"/>
        <bgColor indexed="64"/>
      </patternFill>
    </fill>
    <fill>
      <patternFill patternType="solid">
        <fgColor rgb="FFFFE8CB"/>
        <bgColor indexed="64"/>
      </patternFill>
    </fill>
    <fill>
      <patternFill patternType="solid">
        <fgColor rgb="FFFFF4E7"/>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6"/>
        <bgColor indexed="64"/>
      </patternFill>
    </fill>
    <fill>
      <patternFill patternType="solid">
        <fgColor theme="2"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rgb="FFD4E8C6"/>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85C2FF"/>
        <bgColor indexed="64"/>
      </patternFill>
    </fill>
    <fill>
      <patternFill patternType="solid">
        <fgColor theme="7" tint="0.39997558519241921"/>
        <bgColor indexed="64"/>
      </patternFill>
    </fill>
    <fill>
      <patternFill patternType="solid">
        <fgColor theme="4"/>
        <bgColor theme="4"/>
      </patternFill>
    </fill>
    <fill>
      <patternFill patternType="solid">
        <fgColor theme="9" tint="-0.499984740745262"/>
        <bgColor indexed="64"/>
      </patternFill>
    </fill>
    <fill>
      <patternFill patternType="solid">
        <fgColor theme="0" tint="-0.34998626667073579"/>
        <bgColor indexed="64"/>
      </patternFill>
    </fill>
    <fill>
      <patternFill patternType="solid">
        <fgColor rgb="FFFF898C"/>
        <bgColor indexed="64"/>
      </patternFill>
    </fill>
    <fill>
      <patternFill patternType="solid">
        <fgColor theme="5" tint="-0.249977111117893"/>
        <bgColor theme="5" tint="-0.249977111117893"/>
      </patternFill>
    </fill>
    <fill>
      <patternFill patternType="solid">
        <fgColor rgb="FF002060"/>
        <bgColor indexed="64"/>
      </patternFill>
    </fill>
    <fill>
      <patternFill patternType="solid">
        <fgColor rgb="FF098A9B"/>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2" tint="-0.89999084444715716"/>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2"/>
        <bgColor indexed="64"/>
      </patternFill>
    </fill>
    <fill>
      <patternFill patternType="solid">
        <fgColor rgb="FFE4B6E4"/>
        <bgColor indexed="64"/>
      </patternFill>
    </fill>
    <fill>
      <patternFill patternType="solid">
        <fgColor rgb="FF7030A0"/>
        <bgColor indexed="64"/>
      </patternFill>
    </fill>
    <fill>
      <patternFill patternType="solid">
        <fgColor rgb="FFD692D6"/>
        <bgColor indexed="64"/>
      </patternFill>
    </fill>
    <fill>
      <patternFill patternType="solid">
        <fgColor theme="2" tint="-9.9978637043366805E-2"/>
        <bgColor indexed="64"/>
      </patternFill>
    </fill>
    <fill>
      <patternFill patternType="solid">
        <fgColor theme="6" tint="0.79998168889431442"/>
        <bgColor theme="6" tint="0.79998168889431442"/>
      </patternFill>
    </fill>
    <fill>
      <patternFill patternType="solid">
        <fgColor theme="5" tint="0.39997558519241921"/>
        <bgColor theme="5" tint="0.39997558519241921"/>
      </patternFill>
    </fill>
    <fill>
      <patternFill patternType="solid">
        <fgColor theme="9" tint="-0.249977111117893"/>
        <bgColor theme="6" tint="-0.249977111117893"/>
      </patternFill>
    </fill>
    <fill>
      <patternFill patternType="solid">
        <fgColor theme="9" tint="0.39997558519241921"/>
        <bgColor theme="6" tint="0.39997558519241921"/>
      </patternFill>
    </fill>
    <fill>
      <patternFill patternType="solid">
        <fgColor rgb="FF0070C0"/>
        <bgColor theme="8" tint="-0.249977111117893"/>
      </patternFill>
    </fill>
    <fill>
      <patternFill patternType="solid">
        <fgColor theme="8" tint="0.59999389629810485"/>
        <bgColor theme="8" tint="0.39997558519241921"/>
      </patternFill>
    </fill>
  </fills>
  <borders count="167">
    <border>
      <left/>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rgb="FFFFFFFF"/>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style="medium">
        <color rgb="FFFFFFFF"/>
      </left>
      <right/>
      <top style="medium">
        <color rgb="FFFFFFFF"/>
      </top>
      <bottom style="medium">
        <color rgb="FFFFFFFF"/>
      </bottom>
      <diagonal/>
    </border>
    <border>
      <left style="medium">
        <color rgb="FFFFFFFF"/>
      </left>
      <right style="medium">
        <color rgb="FFFFFFFF"/>
      </right>
      <top style="thick">
        <color rgb="FFFFFFFF"/>
      </top>
      <bottom/>
      <diagonal/>
    </border>
    <border>
      <left style="thin">
        <color indexed="22"/>
      </left>
      <right style="thin">
        <color indexed="22"/>
      </right>
      <top style="thin">
        <color indexed="22"/>
      </top>
      <bottom style="thin">
        <color indexed="22"/>
      </bottom>
      <diagonal/>
    </border>
    <border>
      <left style="medium">
        <color rgb="FFFFFFFF"/>
      </left>
      <right style="medium">
        <color rgb="FFFFFFFF"/>
      </right>
      <top/>
      <bottom/>
      <diagonal/>
    </border>
    <border>
      <left/>
      <right/>
      <top style="thick">
        <color rgb="FFFFFFFF"/>
      </top>
      <bottom/>
      <diagonal/>
    </border>
    <border>
      <left/>
      <right style="medium">
        <color rgb="FFFFFFFF"/>
      </right>
      <top style="thick">
        <color rgb="FFFFFFFF"/>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style="thin">
        <color theme="7" tint="-0.249977111117893"/>
      </left>
      <right style="thin">
        <color theme="7" tint="-0.249977111117893"/>
      </right>
      <top style="thin">
        <color theme="7" tint="-0.249977111117893"/>
      </top>
      <bottom style="thin">
        <color theme="7"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theme="4" tint="0.39997558519241921"/>
      </bottom>
      <diagonal/>
    </border>
    <border>
      <left/>
      <right/>
      <top/>
      <bottom style="thick">
        <color theme="4"/>
      </bottom>
      <diagonal/>
    </border>
    <border>
      <left style="thin">
        <color theme="8"/>
      </left>
      <right style="thin">
        <color theme="8"/>
      </right>
      <top style="thin">
        <color theme="8"/>
      </top>
      <bottom style="thin">
        <color theme="8"/>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theme="4"/>
      </left>
      <right style="thin">
        <color theme="4"/>
      </right>
      <top style="medium">
        <color theme="4"/>
      </top>
      <bottom style="medium">
        <color theme="4"/>
      </bottom>
      <diagonal/>
    </border>
    <border>
      <left style="thin">
        <color theme="4"/>
      </left>
      <right style="thin">
        <color theme="4"/>
      </right>
      <top/>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theme="4" tint="0.59999389629810485"/>
      </left>
      <right style="thin">
        <color theme="4"/>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top style="thin">
        <color theme="5" tint="0.59996337778862885"/>
      </top>
      <bottom style="thin">
        <color theme="5" tint="0.59996337778862885"/>
      </bottom>
      <diagonal/>
    </border>
    <border>
      <left style="thin">
        <color theme="5" tint="0.59996337778862885"/>
      </left>
      <right style="thin">
        <color theme="5" tint="0.59996337778862885"/>
      </right>
      <top style="medium">
        <color theme="5" tint="0.59996337778862885"/>
      </top>
      <bottom style="thin">
        <color theme="5" tint="0.59996337778862885"/>
      </bottom>
      <diagonal/>
    </border>
    <border>
      <left style="medium">
        <color theme="5" tint="0.59996337778862885"/>
      </left>
      <right style="thin">
        <color theme="5" tint="0.59996337778862885"/>
      </right>
      <top style="thin">
        <color theme="5" tint="0.59996337778862885"/>
      </top>
      <bottom style="thin">
        <color theme="5" tint="0.59996337778862885"/>
      </bottom>
      <diagonal/>
    </border>
    <border>
      <left style="medium">
        <color theme="5" tint="0.59996337778862885"/>
      </left>
      <right style="thin">
        <color theme="5" tint="0.59996337778862885"/>
      </right>
      <top style="thin">
        <color theme="5" tint="0.59996337778862885"/>
      </top>
      <bottom style="medium">
        <color theme="5" tint="0.59996337778862885"/>
      </bottom>
      <diagonal/>
    </border>
    <border>
      <left style="thin">
        <color theme="5" tint="0.59996337778862885"/>
      </left>
      <right style="thin">
        <color theme="5" tint="0.59996337778862885"/>
      </right>
      <top style="thin">
        <color theme="5" tint="0.59996337778862885"/>
      </top>
      <bottom style="medium">
        <color theme="5" tint="0.59996337778862885"/>
      </bottom>
      <diagonal/>
    </border>
    <border>
      <left/>
      <right style="thin">
        <color theme="4" tint="0.39997558519241921"/>
      </right>
      <top/>
      <bottom/>
      <diagonal/>
    </border>
    <border>
      <left/>
      <right/>
      <top style="thin">
        <color theme="5" tint="0.79998168889431442"/>
      </top>
      <bottom style="thin">
        <color theme="5" tint="0.79998168889431442"/>
      </bottom>
      <diagonal/>
    </border>
    <border>
      <left/>
      <right/>
      <top style="thin">
        <color theme="5" tint="-0.249977111117893"/>
      </top>
      <bottom style="thin">
        <color theme="5" tint="0.79998168889431442"/>
      </bottom>
      <diagonal/>
    </border>
    <border>
      <left/>
      <right/>
      <top style="thin">
        <color theme="5" tint="-0.249977111117893"/>
      </top>
      <bottom style="thin">
        <color theme="5" tint="0.59999389629810485"/>
      </bottom>
      <diagonal/>
    </border>
    <border>
      <left/>
      <right/>
      <top style="thin">
        <color theme="5" tint="-0.249977111117893"/>
      </top>
      <bottom style="thin">
        <color theme="5" tint="-0.249977111117893"/>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style="thin">
        <color theme="5" tint="-0.249977111117893"/>
      </right>
      <top style="thin">
        <color theme="5" tint="0.79998168889431442"/>
      </top>
      <bottom style="thin">
        <color theme="5" tint="0.79998168889431442"/>
      </bottom>
      <diagonal/>
    </border>
    <border>
      <left style="thin">
        <color theme="4"/>
      </left>
      <right style="thin">
        <color theme="4"/>
      </right>
      <top/>
      <bottom style="thin">
        <color theme="4"/>
      </bottom>
      <diagonal/>
    </border>
    <border>
      <left style="thin">
        <color indexed="64"/>
      </left>
      <right/>
      <top/>
      <bottom style="thin">
        <color theme="7" tint="-0.249977111117893"/>
      </bottom>
      <diagonal/>
    </border>
    <border>
      <left/>
      <right/>
      <top/>
      <bottom style="thin">
        <color theme="7" tint="-0.249977111117893"/>
      </bottom>
      <diagonal/>
    </border>
    <border>
      <left style="thin">
        <color theme="7" tint="-0.249977111117893"/>
      </left>
      <right/>
      <top style="thin">
        <color indexed="64"/>
      </top>
      <bottom style="thin">
        <color theme="7" tint="-0.249977111117893"/>
      </bottom>
      <diagonal/>
    </border>
    <border>
      <left/>
      <right/>
      <top style="thin">
        <color indexed="64"/>
      </top>
      <bottom style="thin">
        <color theme="7" tint="-0.249977111117893"/>
      </bottom>
      <diagonal/>
    </border>
    <border>
      <left style="thin">
        <color theme="7" tint="-0.249977111117893"/>
      </left>
      <right/>
      <top/>
      <bottom style="thin">
        <color theme="7" tint="-0.249977111117893"/>
      </bottom>
      <diagonal/>
    </border>
    <border>
      <left style="thin">
        <color theme="4"/>
      </left>
      <right style="thin">
        <color theme="4"/>
      </right>
      <top style="thin">
        <color theme="4"/>
      </top>
      <bottom/>
      <diagonal/>
    </border>
    <border>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top style="thin">
        <color theme="4"/>
      </top>
      <bottom/>
      <diagonal/>
    </border>
    <border>
      <left/>
      <right style="thin">
        <color theme="4"/>
      </right>
      <top style="double">
        <color theme="4"/>
      </top>
      <bottom/>
      <diagonal/>
    </border>
    <border>
      <left style="thin">
        <color theme="4"/>
      </left>
      <right style="thin">
        <color theme="4"/>
      </right>
      <top style="double">
        <color theme="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medium">
        <color theme="0"/>
      </right>
      <top/>
      <bottom/>
      <diagonal/>
    </border>
    <border>
      <left style="medium">
        <color theme="0"/>
      </left>
      <right/>
      <top/>
      <bottom style="medium">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rgb="FFFF0000"/>
      </left>
      <right style="thin">
        <color theme="0"/>
      </right>
      <top style="thin">
        <color theme="0"/>
      </top>
      <bottom style="thin">
        <color theme="0"/>
      </bottom>
      <diagonal/>
    </border>
    <border>
      <left style="thin">
        <color theme="0"/>
      </left>
      <right style="medium">
        <color rgb="FFFF0000"/>
      </right>
      <top style="thin">
        <color theme="0"/>
      </top>
      <bottom style="thin">
        <color theme="0"/>
      </bottom>
      <diagonal/>
    </border>
    <border>
      <left style="medium">
        <color rgb="FFFF0000"/>
      </left>
      <right style="thin">
        <color theme="0"/>
      </right>
      <top style="thin">
        <color theme="0"/>
      </top>
      <bottom style="medium">
        <color rgb="FFFF0000"/>
      </bottom>
      <diagonal/>
    </border>
    <border>
      <left style="thin">
        <color theme="0"/>
      </left>
      <right style="thin">
        <color theme="0"/>
      </right>
      <top style="thin">
        <color theme="0"/>
      </top>
      <bottom style="medium">
        <color rgb="FFFF0000"/>
      </bottom>
      <diagonal/>
    </border>
    <border>
      <left style="thin">
        <color theme="0"/>
      </left>
      <right style="medium">
        <color rgb="FFFF0000"/>
      </right>
      <top style="thin">
        <color theme="0"/>
      </top>
      <bottom style="medium">
        <color rgb="FFFF000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medium">
        <color rgb="FFFF0000"/>
      </left>
      <right/>
      <top style="thin">
        <color theme="0"/>
      </top>
      <bottom/>
      <diagonal/>
    </border>
    <border>
      <left/>
      <right style="medium">
        <color rgb="FFFF0000"/>
      </right>
      <top style="thin">
        <color theme="0"/>
      </top>
      <bottom/>
      <diagonal/>
    </border>
    <border>
      <left style="medium">
        <color rgb="FFFF0000"/>
      </left>
      <right/>
      <top/>
      <bottom style="thin">
        <color theme="0"/>
      </bottom>
      <diagonal/>
    </border>
    <border>
      <left/>
      <right style="medium">
        <color rgb="FFFF0000"/>
      </right>
      <top/>
      <bottom style="thin">
        <color theme="0"/>
      </bottom>
      <diagonal/>
    </border>
    <border>
      <left style="thin">
        <color theme="0"/>
      </left>
      <right style="medium">
        <color rgb="FFFF0000"/>
      </right>
      <top style="thin">
        <color theme="0"/>
      </top>
      <bottom/>
      <diagonal/>
    </border>
    <border>
      <left style="thin">
        <color theme="0"/>
      </left>
      <right style="medium">
        <color rgb="FFFF0000"/>
      </right>
      <top/>
      <bottom style="thin">
        <color theme="0"/>
      </bottom>
      <diagonal/>
    </border>
    <border>
      <left style="medium">
        <color rgb="FFFF0000"/>
      </left>
      <right style="medium">
        <color rgb="FFFF0000"/>
      </right>
      <top style="thin">
        <color theme="0"/>
      </top>
      <bottom style="thin">
        <color theme="0"/>
      </bottom>
      <diagonal/>
    </border>
    <border>
      <left style="medium">
        <color rgb="FFFF0000"/>
      </left>
      <right style="medium">
        <color rgb="FFFF0000"/>
      </right>
      <top style="thin">
        <color theme="0"/>
      </top>
      <bottom style="medium">
        <color rgb="FFFF0000"/>
      </bottom>
      <diagonal/>
    </border>
    <border>
      <left style="thin">
        <color theme="4"/>
      </left>
      <right style="thin">
        <color theme="4"/>
      </right>
      <top/>
      <bottom style="thin">
        <color theme="0"/>
      </bottom>
      <diagonal/>
    </border>
    <border>
      <left style="thin">
        <color theme="0" tint="-0.249977111117893"/>
      </left>
      <right style="thin">
        <color theme="0" tint="-0.249977111117893"/>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bottom style="thin">
        <color theme="0"/>
      </bottom>
      <diagonal/>
    </border>
    <border>
      <left style="medium">
        <color rgb="FFFF0000"/>
      </left>
      <right/>
      <top style="thin">
        <color theme="0"/>
      </top>
      <bottom style="thin">
        <color theme="0"/>
      </bottom>
      <diagonal/>
    </border>
    <border>
      <left style="medium">
        <color rgb="FFFF0000"/>
      </left>
      <right/>
      <top style="thin">
        <color theme="0"/>
      </top>
      <bottom style="medium">
        <color rgb="FFFF0000"/>
      </bottom>
      <diagonal/>
    </border>
    <border>
      <left/>
      <right style="medium">
        <color rgb="FFFF0000"/>
      </right>
      <top style="thin">
        <color theme="0"/>
      </top>
      <bottom style="thin">
        <color theme="0"/>
      </bottom>
      <diagonal/>
    </border>
    <border>
      <left/>
      <right style="medium">
        <color rgb="FFFF0000"/>
      </right>
      <top style="thin">
        <color theme="0"/>
      </top>
      <bottom style="medium">
        <color rgb="FFFF0000"/>
      </bottom>
      <diagonal/>
    </border>
    <border>
      <left style="medium">
        <color rgb="FFFF0000"/>
      </left>
      <right style="thin">
        <color theme="0"/>
      </right>
      <top style="medium">
        <color rgb="FFFF0000"/>
      </top>
      <bottom style="thin">
        <color theme="0"/>
      </bottom>
      <diagonal/>
    </border>
    <border>
      <left style="thin">
        <color theme="0"/>
      </left>
      <right style="thin">
        <color theme="0"/>
      </right>
      <top style="medium">
        <color rgb="FFFF0000"/>
      </top>
      <bottom style="thin">
        <color theme="0"/>
      </bottom>
      <diagonal/>
    </border>
    <border>
      <left style="thin">
        <color theme="0"/>
      </left>
      <right style="medium">
        <color rgb="FFFF0000"/>
      </right>
      <top style="medium">
        <color rgb="FFFF0000"/>
      </top>
      <bottom style="thin">
        <color theme="0"/>
      </bottom>
      <diagonal/>
    </border>
    <border>
      <left style="medium">
        <color theme="0"/>
      </left>
      <right/>
      <top style="medium">
        <color theme="0"/>
      </top>
      <bottom style="medium">
        <color theme="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medium">
        <color rgb="FF0070C0"/>
      </left>
      <right style="thin">
        <color rgb="FF0070C0"/>
      </right>
      <top style="thin">
        <color rgb="FF0070C0"/>
      </top>
      <bottom/>
      <diagonal/>
    </border>
    <border>
      <left style="medium">
        <color rgb="FF0070C0"/>
      </left>
      <right style="thin">
        <color rgb="FF0070C0"/>
      </right>
      <top/>
      <bottom/>
      <diagonal/>
    </border>
    <border>
      <left style="medium">
        <color rgb="FF0070C0"/>
      </left>
      <right style="thin">
        <color rgb="FF0070C0"/>
      </right>
      <top/>
      <bottom style="thin">
        <color rgb="FF0070C0"/>
      </bottom>
      <diagonal/>
    </border>
    <border>
      <left style="thin">
        <color rgb="FF0070C0"/>
      </left>
      <right/>
      <top/>
      <bottom/>
      <diagonal/>
    </border>
    <border>
      <left style="medium">
        <color rgb="FF0070C0"/>
      </left>
      <right style="thin">
        <color rgb="FF0070C0"/>
      </right>
      <top style="medium">
        <color rgb="FF0070C0"/>
      </top>
      <bottom/>
      <diagonal/>
    </border>
    <border>
      <left style="thin">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style="thin">
        <color rgb="FF0070C0"/>
      </right>
      <top/>
      <bottom style="medium">
        <color rgb="FF0070C0"/>
      </bottom>
      <diagonal/>
    </border>
    <border>
      <left/>
      <right style="medium">
        <color rgb="FFFFFFFF"/>
      </right>
      <top/>
      <bottom/>
      <diagonal/>
    </border>
    <border>
      <left/>
      <right/>
      <top/>
      <bottom style="thin">
        <color theme="5" tint="0.59999389629810485"/>
      </bottom>
      <diagonal/>
    </border>
    <border>
      <left style="medium">
        <color theme="9" tint="-0.24994659260841701"/>
      </left>
      <right style="dashed">
        <color theme="9" tint="-0.24994659260841701"/>
      </right>
      <top style="medium">
        <color theme="9" tint="-0.24994659260841701"/>
      </top>
      <bottom style="dashed">
        <color theme="9" tint="-0.24994659260841701"/>
      </bottom>
      <diagonal/>
    </border>
    <border>
      <left style="dashed">
        <color theme="9" tint="-0.24994659260841701"/>
      </left>
      <right style="dashed">
        <color theme="9" tint="-0.24994659260841701"/>
      </right>
      <top style="medium">
        <color theme="9" tint="-0.24994659260841701"/>
      </top>
      <bottom style="dashed">
        <color theme="9" tint="-0.24994659260841701"/>
      </bottom>
      <diagonal/>
    </border>
    <border>
      <left style="dashed">
        <color theme="9" tint="-0.24994659260841701"/>
      </left>
      <right style="medium">
        <color theme="9" tint="-0.24994659260841701"/>
      </right>
      <top style="medium">
        <color theme="9" tint="-0.24994659260841701"/>
      </top>
      <bottom style="dashed">
        <color theme="9" tint="-0.24994659260841701"/>
      </bottom>
      <diagonal/>
    </border>
    <border>
      <left style="medium">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medium">
        <color theme="9" tint="-0.24994659260841701"/>
      </left>
      <right style="dashed">
        <color theme="9" tint="-0.24994659260841701"/>
      </right>
      <top style="dashed">
        <color theme="9" tint="-0.24994659260841701"/>
      </top>
      <bottom style="medium">
        <color theme="9" tint="-0.24994659260841701"/>
      </bottom>
      <diagonal/>
    </border>
    <border>
      <left style="dashed">
        <color theme="9" tint="-0.24994659260841701"/>
      </left>
      <right style="dashed">
        <color theme="9" tint="-0.24994659260841701"/>
      </right>
      <top style="dashed">
        <color theme="9" tint="-0.24994659260841701"/>
      </top>
      <bottom style="medium">
        <color theme="9" tint="-0.24994659260841701"/>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theme="7" tint="0.39994506668294322"/>
      </left>
      <right style="dashed">
        <color theme="7" tint="0.39994506668294322"/>
      </right>
      <top style="medium">
        <color theme="7" tint="0.39994506668294322"/>
      </top>
      <bottom style="dashed">
        <color theme="7" tint="0.39994506668294322"/>
      </bottom>
      <diagonal/>
    </border>
    <border>
      <left style="dashed">
        <color theme="7" tint="0.39994506668294322"/>
      </left>
      <right style="dashed">
        <color theme="7" tint="0.39994506668294322"/>
      </right>
      <top style="medium">
        <color theme="7" tint="0.39994506668294322"/>
      </top>
      <bottom style="dashed">
        <color theme="7" tint="0.39994506668294322"/>
      </bottom>
      <diagonal/>
    </border>
    <border>
      <left style="dashed">
        <color theme="7" tint="0.39994506668294322"/>
      </left>
      <right style="medium">
        <color theme="7" tint="0.39994506668294322"/>
      </right>
      <top style="medium">
        <color theme="7" tint="0.39994506668294322"/>
      </top>
      <bottom style="dashed">
        <color theme="7" tint="0.39994506668294322"/>
      </bottom>
      <diagonal/>
    </border>
    <border>
      <left style="medium">
        <color theme="7" tint="0.39994506668294322"/>
      </left>
      <right style="dashed">
        <color theme="7" tint="0.39994506668294322"/>
      </right>
      <top style="dashed">
        <color theme="7" tint="0.39994506668294322"/>
      </top>
      <bottom style="dashed">
        <color theme="7" tint="0.39994506668294322"/>
      </bottom>
      <diagonal/>
    </border>
    <border>
      <left style="dashed">
        <color theme="7" tint="0.39994506668294322"/>
      </left>
      <right style="dashed">
        <color theme="7" tint="0.39994506668294322"/>
      </right>
      <top style="dashed">
        <color theme="7" tint="0.39994506668294322"/>
      </top>
      <bottom style="dashed">
        <color theme="7" tint="0.39994506668294322"/>
      </bottom>
      <diagonal/>
    </border>
    <border>
      <left style="dashed">
        <color theme="7" tint="0.39994506668294322"/>
      </left>
      <right style="medium">
        <color theme="7" tint="0.39994506668294322"/>
      </right>
      <top style="dashed">
        <color theme="7" tint="0.39994506668294322"/>
      </top>
      <bottom style="dashed">
        <color theme="7" tint="0.39994506668294322"/>
      </bottom>
      <diagonal/>
    </border>
    <border>
      <left style="medium">
        <color theme="7" tint="0.39994506668294322"/>
      </left>
      <right style="dashed">
        <color theme="7" tint="0.39994506668294322"/>
      </right>
      <top style="dashed">
        <color theme="7" tint="0.39994506668294322"/>
      </top>
      <bottom style="medium">
        <color theme="7" tint="0.39994506668294322"/>
      </bottom>
      <diagonal/>
    </border>
    <border>
      <left style="dashed">
        <color theme="7" tint="0.39994506668294322"/>
      </left>
      <right style="dashed">
        <color theme="7" tint="0.39994506668294322"/>
      </right>
      <top style="dashed">
        <color theme="7" tint="0.39994506668294322"/>
      </top>
      <bottom style="medium">
        <color theme="7" tint="0.39994506668294322"/>
      </bottom>
      <diagonal/>
    </border>
    <border>
      <left style="dashed">
        <color theme="7" tint="0.39994506668294322"/>
      </left>
      <right style="medium">
        <color theme="7" tint="0.39994506668294322"/>
      </right>
      <top style="dashed">
        <color theme="7" tint="0.39994506668294322"/>
      </top>
      <bottom style="medium">
        <color theme="7" tint="0.39994506668294322"/>
      </bottom>
      <diagonal/>
    </border>
    <border>
      <left/>
      <right/>
      <top/>
      <bottom style="thin">
        <color theme="5" tint="0.79998168889431442"/>
      </bottom>
      <diagonal/>
    </border>
    <border>
      <left style="thin">
        <color theme="9" tint="0.59996337778862885"/>
      </left>
      <right/>
      <top style="thin">
        <color theme="9" tint="0.59996337778862885"/>
      </top>
      <bottom style="thin">
        <color theme="9" tint="0.59996337778862885"/>
      </bottom>
      <diagonal/>
    </border>
    <border>
      <left style="thin">
        <color theme="9" tint="0.59996337778862885"/>
      </left>
      <right/>
      <top style="thin">
        <color theme="9" tint="0.59996337778862885"/>
      </top>
      <bottom/>
      <diagonal/>
    </border>
    <border>
      <left/>
      <right style="thin">
        <color theme="9"/>
      </right>
      <top style="thin">
        <color theme="9" tint="0.59996337778862885"/>
      </top>
      <bottom style="thin">
        <color theme="9" tint="0.59996337778862885"/>
      </bottom>
      <diagonal/>
    </border>
    <border>
      <left/>
      <right/>
      <top style="thin">
        <color theme="8" tint="0.79998168889431442"/>
      </top>
      <bottom style="thin">
        <color theme="8" tint="0.79998168889431442"/>
      </bottom>
      <diagonal/>
    </border>
    <border>
      <left/>
      <right/>
      <top/>
      <bottom style="thin">
        <color theme="8" tint="0.79998168889431442"/>
      </bottom>
      <diagonal/>
    </border>
    <border>
      <left/>
      <right/>
      <top style="thin">
        <color theme="5" tint="0.79998168889431442"/>
      </top>
      <bottom style="thin">
        <color theme="5" tint="0.39997558519241921"/>
      </bottom>
      <diagonal/>
    </border>
    <border>
      <left/>
      <right/>
      <top style="thin">
        <color theme="5" tint="0.39997558519241921"/>
      </top>
      <bottom style="thin">
        <color theme="5" tint="0.39997558519241921"/>
      </bottom>
      <diagonal/>
    </border>
    <border>
      <left/>
      <right/>
      <top style="thin">
        <color theme="5" tint="0.39997558519241921"/>
      </top>
      <bottom style="thin">
        <color theme="5" tint="0.79998168889431442"/>
      </bottom>
      <diagonal/>
    </border>
    <border>
      <left/>
      <right/>
      <top/>
      <bottom style="thin">
        <color theme="6" tint="0.79998168889431442"/>
      </bottom>
      <diagonal/>
    </border>
    <border>
      <left/>
      <right/>
      <top style="thin">
        <color theme="6" tint="0.79998168889431442"/>
      </top>
      <bottom style="thin">
        <color theme="6" tint="0.39997558519241921"/>
      </bottom>
      <diagonal/>
    </border>
    <border>
      <left/>
      <right/>
      <top style="thin">
        <color theme="6" tint="0.79998168889431442"/>
      </top>
      <bottom style="thin">
        <color theme="6" tint="0.79998168889431442"/>
      </bottom>
      <diagonal/>
    </border>
    <border>
      <left/>
      <right/>
      <top style="thin">
        <color theme="6" tint="0.39997558519241921"/>
      </top>
      <bottom style="thin">
        <color theme="6" tint="0.39997558519241921"/>
      </bottom>
      <diagonal/>
    </border>
    <border>
      <left/>
      <right/>
      <top style="thin">
        <color theme="6" tint="0.39997558519241921"/>
      </top>
      <bottom style="thin">
        <color theme="6" tint="0.79998168889431442"/>
      </bottom>
      <diagonal/>
    </border>
    <border>
      <left style="thin">
        <color theme="0"/>
      </left>
      <right style="thin">
        <color theme="0"/>
      </right>
      <top style="thin">
        <color theme="0"/>
      </top>
      <bottom/>
      <diagonal/>
    </border>
    <border>
      <left/>
      <right style="thin">
        <color theme="9"/>
      </right>
      <top style="thin">
        <color theme="9" tint="0.59996337778862885"/>
      </top>
      <bottom/>
      <diagonal/>
    </border>
  </borders>
  <cellStyleXfs count="43">
    <xf numFmtId="0" fontId="0" fillId="0" borderId="0"/>
    <xf numFmtId="9" fontId="12" fillId="0" borderId="0" applyFont="0" applyFill="0" applyBorder="0" applyAlignment="0" applyProtection="0"/>
    <xf numFmtId="0" fontId="13" fillId="0" borderId="0"/>
    <xf numFmtId="9"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3" fillId="0" borderId="0" applyFont="0" applyFill="0" applyBorder="0" applyAlignment="0" applyProtection="0"/>
    <xf numFmtId="166" fontId="13" fillId="0" borderId="0"/>
    <xf numFmtId="0" fontId="39" fillId="0" borderId="0"/>
    <xf numFmtId="0" fontId="39" fillId="0" borderId="0"/>
    <xf numFmtId="0" fontId="11" fillId="0" borderId="0"/>
    <xf numFmtId="9" fontId="11" fillId="0" borderId="0" applyFont="0" applyFill="0" applyBorder="0" applyAlignment="0" applyProtection="0"/>
    <xf numFmtId="0" fontId="61" fillId="0" borderId="31" applyNumberFormat="0" applyFill="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166" fontId="9" fillId="0" borderId="0"/>
    <xf numFmtId="0" fontId="10" fillId="0" borderId="0"/>
    <xf numFmtId="9" fontId="10" fillId="0" borderId="0" applyFont="0" applyFill="0" applyBorder="0" applyAlignment="0" applyProtection="0"/>
    <xf numFmtId="0" fontId="39" fillId="0" borderId="0"/>
    <xf numFmtId="0" fontId="12" fillId="0" borderId="0"/>
    <xf numFmtId="0" fontId="44" fillId="24" borderId="0" applyNumberFormat="0" applyBorder="0" applyAlignment="0" applyProtection="0"/>
    <xf numFmtId="0" fontId="45" fillId="25" borderId="0" applyNumberFormat="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166"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6" fontId="8"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166"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166" fontId="4" fillId="0" borderId="0"/>
  </cellStyleXfs>
  <cellXfs count="956">
    <xf numFmtId="0" fontId="0" fillId="0" borderId="0" xfId="0"/>
    <xf numFmtId="0" fontId="16" fillId="2" borderId="1" xfId="0" applyFont="1" applyFill="1" applyBorder="1" applyAlignment="1">
      <alignment horizontal="left" vertical="center" readingOrder="1"/>
    </xf>
    <xf numFmtId="0" fontId="16" fillId="5" borderId="2" xfId="0" applyFont="1" applyFill="1" applyBorder="1" applyAlignment="1">
      <alignment horizontal="left" vertical="center" readingOrder="1"/>
    </xf>
    <xf numFmtId="0" fontId="16" fillId="8" borderId="2" xfId="0" applyFont="1" applyFill="1" applyBorder="1" applyAlignment="1">
      <alignment horizontal="left" vertical="center" readingOrder="1"/>
    </xf>
    <xf numFmtId="0" fontId="16" fillId="8" borderId="3" xfId="0" applyFont="1" applyFill="1" applyBorder="1" applyAlignment="1">
      <alignment horizontal="left" vertical="center" readingOrder="1"/>
    </xf>
    <xf numFmtId="0" fontId="16" fillId="9" borderId="2" xfId="0" applyFont="1" applyFill="1" applyBorder="1" applyAlignment="1">
      <alignment horizontal="left" vertical="center" readingOrder="1"/>
    </xf>
    <xf numFmtId="0" fontId="17" fillId="3" borderId="1" xfId="0" applyFont="1" applyFill="1" applyBorder="1" applyAlignment="1">
      <alignment horizontal="left" vertical="center" readingOrder="1"/>
    </xf>
    <xf numFmtId="0" fontId="17" fillId="4" borderId="2" xfId="0" applyFont="1" applyFill="1" applyBorder="1" applyAlignment="1">
      <alignment horizontal="left" vertical="center" readingOrder="1"/>
    </xf>
    <xf numFmtId="0" fontId="17" fillId="3" borderId="2" xfId="0" applyFont="1" applyFill="1" applyBorder="1" applyAlignment="1">
      <alignment horizontal="left" vertical="center" readingOrder="1"/>
    </xf>
    <xf numFmtId="0" fontId="17" fillId="3" borderId="3" xfId="0" applyFont="1" applyFill="1" applyBorder="1" applyAlignment="1">
      <alignment horizontal="left" vertical="center" readingOrder="1"/>
    </xf>
    <xf numFmtId="14" fontId="17" fillId="3" borderId="2" xfId="0" applyNumberFormat="1" applyFont="1" applyFill="1" applyBorder="1" applyAlignment="1">
      <alignment horizontal="left" vertical="center" readingOrder="1"/>
    </xf>
    <xf numFmtId="14" fontId="17" fillId="6" borderId="2" xfId="0" applyNumberFormat="1" applyFont="1" applyFill="1" applyBorder="1" applyAlignment="1">
      <alignment horizontal="left" vertical="center" readingOrder="1"/>
    </xf>
    <xf numFmtId="0" fontId="17" fillId="7" borderId="2" xfId="0" applyFont="1" applyFill="1" applyBorder="1" applyAlignment="1">
      <alignment horizontal="left" vertical="center" readingOrder="1"/>
    </xf>
    <xf numFmtId="0" fontId="20" fillId="7" borderId="2" xfId="0" applyFont="1" applyFill="1" applyBorder="1" applyAlignment="1">
      <alignment horizontal="left" vertical="top" wrapText="1" readingOrder="1"/>
    </xf>
    <xf numFmtId="14" fontId="20" fillId="6" borderId="1" xfId="0" applyNumberFormat="1" applyFont="1" applyFill="1" applyBorder="1" applyAlignment="1">
      <alignment horizontal="left" vertical="top" wrapText="1" readingOrder="1"/>
    </xf>
    <xf numFmtId="9" fontId="17" fillId="3" borderId="2" xfId="1" applyFont="1" applyFill="1" applyBorder="1" applyAlignment="1">
      <alignment horizontal="left" vertical="center" readingOrder="1"/>
    </xf>
    <xf numFmtId="9" fontId="17" fillId="6" borderId="1" xfId="1" applyFont="1" applyFill="1" applyBorder="1" applyAlignment="1">
      <alignment horizontal="left" vertical="top" wrapText="1" readingOrder="1"/>
    </xf>
    <xf numFmtId="0" fontId="25" fillId="0" borderId="0" xfId="0" applyFont="1"/>
    <xf numFmtId="0" fontId="23" fillId="0" borderId="0" xfId="0" applyFont="1"/>
    <xf numFmtId="0" fontId="28" fillId="0" borderId="0" xfId="0" applyFont="1" applyAlignment="1"/>
    <xf numFmtId="0" fontId="28" fillId="0" borderId="0" xfId="0" applyFont="1" applyFill="1" applyAlignment="1"/>
    <xf numFmtId="166" fontId="13" fillId="13" borderId="0" xfId="8" applyFill="1"/>
    <xf numFmtId="166" fontId="13" fillId="13" borderId="0" xfId="8" applyFill="1" applyAlignment="1">
      <alignment horizontal="center" vertical="center"/>
    </xf>
    <xf numFmtId="166" fontId="13" fillId="20" borderId="8" xfId="8" applyFill="1" applyBorder="1"/>
    <xf numFmtId="166" fontId="13" fillId="20" borderId="0" xfId="8" applyFill="1" applyBorder="1"/>
    <xf numFmtId="166" fontId="13" fillId="20" borderId="9" xfId="8" applyFill="1" applyBorder="1"/>
    <xf numFmtId="166" fontId="22" fillId="20" borderId="0" xfId="8" applyFont="1" applyFill="1" applyBorder="1"/>
    <xf numFmtId="166" fontId="13" fillId="20" borderId="10" xfId="8" applyFill="1" applyBorder="1"/>
    <xf numFmtId="166" fontId="13" fillId="20" borderId="11" xfId="8" applyFill="1" applyBorder="1"/>
    <xf numFmtId="166" fontId="13" fillId="20" borderId="12" xfId="8" applyFill="1" applyBorder="1"/>
    <xf numFmtId="0" fontId="17" fillId="0" borderId="0" xfId="0" applyFont="1" applyFill="1" applyBorder="1" applyAlignment="1">
      <alignment horizontal="left" vertical="center" readingOrder="1"/>
    </xf>
    <xf numFmtId="9" fontId="28" fillId="0" borderId="0" xfId="0" applyNumberFormat="1" applyFont="1" applyFill="1" applyAlignment="1"/>
    <xf numFmtId="9" fontId="28" fillId="0" borderId="0" xfId="1" applyFont="1" applyFill="1" applyAlignment="1"/>
    <xf numFmtId="1" fontId="28" fillId="0" borderId="0" xfId="0" applyNumberFormat="1" applyFont="1" applyFill="1" applyAlignment="1"/>
    <xf numFmtId="14" fontId="28" fillId="0" borderId="0" xfId="0" applyNumberFormat="1" applyFont="1" applyFill="1" applyAlignment="1"/>
    <xf numFmtId="0" fontId="28" fillId="0" borderId="0" xfId="0" applyFont="1" applyFill="1" applyAlignment="1">
      <alignment horizontal="left"/>
    </xf>
    <xf numFmtId="1" fontId="28" fillId="0" borderId="0" xfId="1" applyNumberFormat="1" applyFont="1" applyFill="1" applyAlignment="1"/>
    <xf numFmtId="0" fontId="28" fillId="0" borderId="0" xfId="1" applyNumberFormat="1" applyFont="1" applyFill="1" applyAlignment="1"/>
    <xf numFmtId="0" fontId="28" fillId="0" borderId="0" xfId="0" applyNumberFormat="1" applyFont="1" applyFill="1" applyAlignment="1"/>
    <xf numFmtId="1" fontId="28" fillId="0" borderId="0" xfId="0" applyNumberFormat="1" applyFont="1" applyFill="1" applyAlignment="1">
      <alignment horizontal="left"/>
    </xf>
    <xf numFmtId="0" fontId="17" fillId="3" borderId="0" xfId="0" applyFont="1" applyFill="1" applyBorder="1" applyAlignment="1">
      <alignment horizontal="left" vertical="center" readingOrder="1"/>
    </xf>
    <xf numFmtId="0" fontId="17" fillId="0" borderId="1" xfId="0" applyFont="1" applyFill="1" applyBorder="1" applyAlignment="1">
      <alignment horizontal="left" vertical="center" readingOrder="1"/>
    </xf>
    <xf numFmtId="14" fontId="17" fillId="3" borderId="18" xfId="0" applyNumberFormat="1" applyFont="1" applyFill="1" applyBorder="1" applyAlignment="1">
      <alignment horizontal="left" vertical="center" readingOrder="1"/>
    </xf>
    <xf numFmtId="0" fontId="25" fillId="0" borderId="0" xfId="0" applyNumberFormat="1" applyFont="1"/>
    <xf numFmtId="1" fontId="25" fillId="0" borderId="0" xfId="0" applyNumberFormat="1" applyFont="1"/>
    <xf numFmtId="0" fontId="25" fillId="0" borderId="0" xfId="0" applyFont="1" applyAlignment="1">
      <alignment wrapText="1" readingOrder="1"/>
    </xf>
    <xf numFmtId="0" fontId="17" fillId="7" borderId="0" xfId="0" applyFont="1" applyFill="1" applyBorder="1" applyAlignment="1">
      <alignment horizontal="left" vertical="center" readingOrder="1"/>
    </xf>
    <xf numFmtId="0" fontId="16" fillId="9" borderId="15" xfId="0" applyFont="1" applyFill="1" applyBorder="1" applyAlignment="1">
      <alignment horizontal="left" vertical="center" readingOrder="1"/>
    </xf>
    <xf numFmtId="0" fontId="17" fillId="7" borderId="15" xfId="0" applyFont="1" applyFill="1" applyBorder="1" applyAlignment="1">
      <alignment horizontal="left" vertical="center" readingOrder="1"/>
    </xf>
    <xf numFmtId="0" fontId="42" fillId="2" borderId="1" xfId="0" applyFont="1" applyFill="1" applyBorder="1" applyAlignment="1">
      <alignment horizontal="left" vertical="center" readingOrder="1"/>
    </xf>
    <xf numFmtId="14" fontId="43" fillId="6" borderId="2" xfId="0" applyNumberFormat="1" applyFont="1" applyFill="1" applyBorder="1" applyAlignment="1">
      <alignment horizontal="left" vertical="center" readingOrder="1"/>
    </xf>
    <xf numFmtId="14" fontId="42" fillId="6" borderId="1" xfId="0" applyNumberFormat="1" applyFont="1" applyFill="1" applyBorder="1" applyAlignment="1">
      <alignment horizontal="left" vertical="top" wrapText="1" readingOrder="1"/>
    </xf>
    <xf numFmtId="0" fontId="43" fillId="3" borderId="2" xfId="0" applyFont="1" applyFill="1" applyBorder="1" applyAlignment="1">
      <alignment horizontal="left" vertical="center" readingOrder="1"/>
    </xf>
    <xf numFmtId="0" fontId="43" fillId="7" borderId="2" xfId="0" applyFont="1" applyFill="1" applyBorder="1" applyAlignment="1">
      <alignment horizontal="left" vertical="center" readingOrder="1"/>
    </xf>
    <xf numFmtId="0" fontId="43" fillId="7" borderId="2" xfId="0" applyFont="1" applyFill="1" applyBorder="1" applyAlignment="1">
      <alignment horizontal="left" vertical="top" wrapText="1" readingOrder="1"/>
    </xf>
    <xf numFmtId="0" fontId="17" fillId="3" borderId="16" xfId="0" applyFont="1" applyFill="1" applyBorder="1" applyAlignment="1">
      <alignment horizontal="left" vertical="center" readingOrder="1"/>
    </xf>
    <xf numFmtId="0" fontId="20" fillId="7" borderId="15" xfId="0" applyFont="1" applyFill="1" applyBorder="1" applyAlignment="1">
      <alignment horizontal="left" vertical="top" wrapText="1" readingOrder="1"/>
    </xf>
    <xf numFmtId="0" fontId="17" fillId="3" borderId="15" xfId="0" applyFont="1" applyFill="1" applyBorder="1" applyAlignment="1">
      <alignment horizontal="left" vertical="center" readingOrder="1"/>
    </xf>
    <xf numFmtId="0" fontId="59" fillId="0" borderId="0" xfId="0" applyFont="1"/>
    <xf numFmtId="0" fontId="59" fillId="0" borderId="0" xfId="0" applyFont="1" applyAlignment="1">
      <alignment wrapText="1"/>
    </xf>
    <xf numFmtId="164" fontId="59" fillId="0" borderId="25" xfId="4" applyNumberFormat="1" applyFont="1" applyBorder="1"/>
    <xf numFmtId="164" fontId="59" fillId="0" borderId="0" xfId="0" applyNumberFormat="1" applyFont="1"/>
    <xf numFmtId="0" fontId="23" fillId="0" borderId="21" xfId="0" applyFont="1" applyFill="1" applyBorder="1"/>
    <xf numFmtId="0" fontId="23" fillId="0" borderId="30" xfId="0" applyFont="1" applyFill="1" applyBorder="1"/>
    <xf numFmtId="0" fontId="23" fillId="0" borderId="28" xfId="0" applyFont="1" applyFill="1" applyBorder="1"/>
    <xf numFmtId="0" fontId="23" fillId="0" borderId="0" xfId="0" applyFont="1" applyBorder="1"/>
    <xf numFmtId="0" fontId="43" fillId="0" borderId="0" xfId="0" applyFont="1"/>
    <xf numFmtId="0" fontId="43" fillId="0" borderId="0" xfId="0" applyFont="1" applyAlignment="1"/>
    <xf numFmtId="9" fontId="59" fillId="0" borderId="0" xfId="1" applyFont="1"/>
    <xf numFmtId="0" fontId="25" fillId="0" borderId="0" xfId="0" applyNumberFormat="1" applyFont="1" applyAlignment="1">
      <alignment wrapText="1"/>
    </xf>
    <xf numFmtId="0" fontId="0" fillId="0" borderId="0" xfId="0" pivotButton="1"/>
    <xf numFmtId="0" fontId="25" fillId="0" borderId="0" xfId="0" applyFont="1" applyFill="1"/>
    <xf numFmtId="9" fontId="17" fillId="0" borderId="0" xfId="0" applyNumberFormat="1" applyFont="1" applyFill="1" applyBorder="1" applyAlignment="1">
      <alignment horizontal="left" vertical="center" readingOrder="1"/>
    </xf>
    <xf numFmtId="14" fontId="32" fillId="16" borderId="0" xfId="0" applyNumberFormat="1" applyFont="1" applyFill="1" applyBorder="1" applyAlignment="1">
      <alignment horizontal="left"/>
    </xf>
    <xf numFmtId="9" fontId="63" fillId="23" borderId="0" xfId="0" applyNumberFormat="1" applyFont="1" applyFill="1" applyBorder="1" applyAlignment="1">
      <alignment vertical="center"/>
    </xf>
    <xf numFmtId="0" fontId="25" fillId="0" borderId="0" xfId="0" applyFont="1" applyFill="1" applyBorder="1"/>
    <xf numFmtId="1" fontId="63" fillId="23" borderId="0" xfId="0" applyNumberFormat="1" applyFont="1" applyFill="1" applyBorder="1" applyAlignment="1">
      <alignment vertical="center"/>
    </xf>
    <xf numFmtId="0" fontId="66" fillId="10" borderId="25" xfId="0" applyFont="1" applyFill="1" applyBorder="1" applyAlignment="1">
      <alignment horizontal="center" vertical="top" wrapText="1"/>
    </xf>
    <xf numFmtId="0" fontId="59" fillId="7" borderId="25" xfId="0" applyFont="1" applyFill="1" applyBorder="1" applyAlignment="1">
      <alignment horizontal="center" vertical="top" wrapText="1"/>
    </xf>
    <xf numFmtId="0" fontId="59" fillId="11" borderId="25" xfId="0" applyFont="1" applyFill="1" applyBorder="1" applyAlignment="1">
      <alignment horizontal="center" vertical="top" wrapText="1"/>
    </xf>
    <xf numFmtId="164" fontId="59" fillId="0" borderId="25" xfId="4" applyNumberFormat="1" applyFont="1" applyBorder="1" applyAlignment="1">
      <alignment vertical="top" wrapText="1"/>
    </xf>
    <xf numFmtId="0" fontId="59" fillId="18" borderId="24" xfId="0" applyFont="1" applyFill="1" applyBorder="1" applyAlignment="1">
      <alignment horizontal="center"/>
    </xf>
    <xf numFmtId="0" fontId="59" fillId="18" borderId="26" xfId="0" applyFont="1" applyFill="1" applyBorder="1" applyAlignment="1">
      <alignment horizontal="center"/>
    </xf>
    <xf numFmtId="0" fontId="59" fillId="18" borderId="27" xfId="0" applyFont="1" applyFill="1" applyBorder="1" applyAlignment="1">
      <alignment horizontal="center"/>
    </xf>
    <xf numFmtId="0" fontId="60" fillId="0" borderId="34" xfId="0" applyFont="1" applyBorder="1" applyAlignment="1">
      <alignment horizontal="center" vertical="center"/>
    </xf>
    <xf numFmtId="0" fontId="67" fillId="13" borderId="35" xfId="0" applyFont="1" applyFill="1" applyBorder="1" applyAlignment="1">
      <alignment horizontal="center" vertical="center" wrapText="1"/>
    </xf>
    <xf numFmtId="0" fontId="68" fillId="13" borderId="36" xfId="0" applyFont="1" applyFill="1" applyBorder="1" applyAlignment="1">
      <alignment horizontal="center" vertical="center" wrapText="1"/>
    </xf>
    <xf numFmtId="0" fontId="65" fillId="8" borderId="23" xfId="0" applyFont="1" applyFill="1" applyBorder="1" applyAlignment="1">
      <alignment horizontal="center" vertical="center" wrapText="1"/>
    </xf>
    <xf numFmtId="0" fontId="65" fillId="36" borderId="23" xfId="0" applyFont="1" applyFill="1" applyBorder="1" applyAlignment="1">
      <alignment horizontal="center" vertical="center" wrapText="1"/>
    </xf>
    <xf numFmtId="0" fontId="0" fillId="0" borderId="23" xfId="0" applyBorder="1"/>
    <xf numFmtId="0" fontId="59" fillId="0" borderId="23" xfId="0" applyFont="1" applyBorder="1"/>
    <xf numFmtId="0" fontId="65" fillId="14" borderId="23" xfId="0" applyFont="1" applyFill="1" applyBorder="1" applyAlignment="1">
      <alignment horizontal="center" vertical="center" wrapText="1"/>
    </xf>
    <xf numFmtId="0" fontId="0" fillId="37" borderId="23" xfId="0" applyFill="1" applyBorder="1"/>
    <xf numFmtId="164" fontId="65" fillId="14" borderId="23" xfId="4" applyNumberFormat="1" applyFont="1" applyFill="1" applyBorder="1" applyAlignment="1">
      <alignment horizontal="right" vertical="center"/>
    </xf>
    <xf numFmtId="164" fontId="65" fillId="8" borderId="23" xfId="4" applyNumberFormat="1" applyFont="1" applyFill="1" applyBorder="1" applyAlignment="1">
      <alignment horizontal="right" vertical="center"/>
    </xf>
    <xf numFmtId="164" fontId="65" fillId="36" borderId="23" xfId="4" applyNumberFormat="1" applyFont="1" applyFill="1" applyBorder="1" applyAlignment="1">
      <alignment horizontal="right" vertical="center"/>
    </xf>
    <xf numFmtId="0" fontId="25" fillId="27" borderId="0" xfId="0" applyFont="1" applyFill="1"/>
    <xf numFmtId="166" fontId="9" fillId="20" borderId="0" xfId="8" applyFont="1" applyFill="1" applyBorder="1"/>
    <xf numFmtId="0" fontId="59" fillId="0" borderId="0" xfId="0" applyFont="1" applyAlignment="1">
      <alignment horizontal="center" vertical="center" wrapText="1"/>
    </xf>
    <xf numFmtId="0" fontId="25" fillId="0" borderId="0" xfId="0" applyNumberFormat="1" applyFont="1" applyFill="1"/>
    <xf numFmtId="1" fontId="25" fillId="0" borderId="0" xfId="0" applyNumberFormat="1" applyFont="1" applyFill="1"/>
    <xf numFmtId="0" fontId="25" fillId="0" borderId="0" xfId="0" applyFont="1" applyFill="1" applyAlignment="1">
      <alignment wrapText="1" readingOrder="1"/>
    </xf>
    <xf numFmtId="0" fontId="0" fillId="0" borderId="0" xfId="0" applyFill="1"/>
    <xf numFmtId="14" fontId="25" fillId="0" borderId="0" xfId="0" applyNumberFormat="1" applyFont="1"/>
    <xf numFmtId="165" fontId="25" fillId="0" borderId="0" xfId="0" applyNumberFormat="1" applyFont="1"/>
    <xf numFmtId="165" fontId="25" fillId="0" borderId="0" xfId="0" applyNumberFormat="1" applyFont="1" applyFill="1"/>
    <xf numFmtId="0" fontId="71" fillId="8" borderId="0" xfId="0" applyFont="1" applyFill="1"/>
    <xf numFmtId="0" fontId="71" fillId="38" borderId="0" xfId="0" applyFont="1" applyFill="1"/>
    <xf numFmtId="0" fontId="9" fillId="0" borderId="0" xfId="0" applyFont="1"/>
    <xf numFmtId="0" fontId="22" fillId="0" borderId="0" xfId="0" applyFont="1"/>
    <xf numFmtId="0" fontId="9" fillId="0" borderId="0" xfId="0" applyFont="1" applyAlignment="1">
      <alignment horizontal="left"/>
    </xf>
    <xf numFmtId="9" fontId="9" fillId="0" borderId="0" xfId="0" applyNumberFormat="1" applyFont="1"/>
    <xf numFmtId="0" fontId="9" fillId="0" borderId="0" xfId="0" applyNumberFormat="1" applyFont="1"/>
    <xf numFmtId="0" fontId="9" fillId="0" borderId="0" xfId="0" applyFont="1" applyAlignment="1">
      <alignment wrapText="1"/>
    </xf>
    <xf numFmtId="164" fontId="9" fillId="0" borderId="0" xfId="0" applyNumberFormat="1" applyFont="1"/>
    <xf numFmtId="0" fontId="73" fillId="0" borderId="0" xfId="0" applyFont="1"/>
    <xf numFmtId="0" fontId="72" fillId="14" borderId="0" xfId="0" applyFont="1" applyFill="1"/>
    <xf numFmtId="1" fontId="9" fillId="0" borderId="0" xfId="0" applyNumberFormat="1" applyFont="1"/>
    <xf numFmtId="0" fontId="22" fillId="0" borderId="34" xfId="0" applyFont="1" applyBorder="1" applyAlignment="1">
      <alignment wrapText="1"/>
    </xf>
    <xf numFmtId="0" fontId="74" fillId="0" borderId="37" xfId="0" applyFont="1" applyBorder="1" applyAlignment="1">
      <alignment horizontal="left"/>
    </xf>
    <xf numFmtId="0" fontId="74" fillId="0" borderId="39" xfId="0" applyFont="1" applyBorder="1" applyAlignment="1">
      <alignment horizontal="left"/>
    </xf>
    <xf numFmtId="0" fontId="22" fillId="0" borderId="35" xfId="0" applyFont="1" applyBorder="1"/>
    <xf numFmtId="0" fontId="22" fillId="0" borderId="36" xfId="0" applyFont="1" applyBorder="1"/>
    <xf numFmtId="0" fontId="74" fillId="0" borderId="33" xfId="0" applyNumberFormat="1" applyFont="1" applyBorder="1"/>
    <xf numFmtId="0" fontId="74" fillId="0" borderId="38" xfId="0" applyNumberFormat="1" applyFont="1" applyBorder="1"/>
    <xf numFmtId="0" fontId="74" fillId="0" borderId="40" xfId="0" applyNumberFormat="1" applyFont="1" applyBorder="1"/>
    <xf numFmtId="0" fontId="74" fillId="0" borderId="41" xfId="0" applyNumberFormat="1" applyFont="1" applyBorder="1"/>
    <xf numFmtId="0" fontId="9" fillId="0" borderId="0" xfId="0" applyFont="1" applyFill="1"/>
    <xf numFmtId="0" fontId="9" fillId="0" borderId="0" xfId="0" applyFont="1" applyFill="1" applyBorder="1" applyAlignment="1">
      <alignment horizontal="left"/>
    </xf>
    <xf numFmtId="0" fontId="9" fillId="0" borderId="0" xfId="0" applyNumberFormat="1" applyFont="1" applyFill="1" applyBorder="1"/>
    <xf numFmtId="9" fontId="9" fillId="0" borderId="0" xfId="0" applyNumberFormat="1" applyFont="1" applyFill="1"/>
    <xf numFmtId="0" fontId="9" fillId="0" borderId="0" xfId="0" applyNumberFormat="1" applyFont="1" applyFill="1"/>
    <xf numFmtId="0" fontId="9" fillId="17" borderId="32" xfId="0" applyFont="1" applyFill="1" applyBorder="1"/>
    <xf numFmtId="0" fontId="9" fillId="19" borderId="0" xfId="0" applyFont="1" applyFill="1"/>
    <xf numFmtId="164" fontId="9" fillId="0" borderId="0" xfId="4" applyNumberFormat="1" applyFont="1"/>
    <xf numFmtId="0" fontId="9" fillId="34" borderId="0" xfId="0" applyFont="1" applyFill="1"/>
    <xf numFmtId="0" fontId="22" fillId="10" borderId="0" xfId="0" applyFont="1" applyFill="1"/>
    <xf numFmtId="0" fontId="74" fillId="0" borderId="46" xfId="0" applyFont="1" applyBorder="1" applyAlignment="1">
      <alignment horizontal="left"/>
    </xf>
    <xf numFmtId="0" fontId="71" fillId="8" borderId="0" xfId="0" applyFont="1" applyFill="1" applyAlignment="1">
      <alignment horizontal="left"/>
    </xf>
    <xf numFmtId="9" fontId="71" fillId="8" borderId="0" xfId="0" applyNumberFormat="1" applyFont="1" applyFill="1"/>
    <xf numFmtId="0" fontId="71" fillId="8" borderId="0" xfId="0" applyNumberFormat="1" applyFont="1" applyFill="1"/>
    <xf numFmtId="0" fontId="69" fillId="0" borderId="0" xfId="0" applyFont="1"/>
    <xf numFmtId="0" fontId="62" fillId="0" borderId="0" xfId="0" applyFont="1"/>
    <xf numFmtId="0" fontId="72" fillId="29" borderId="49" xfId="0" applyFont="1" applyFill="1" applyBorder="1"/>
    <xf numFmtId="164" fontId="22" fillId="0" borderId="50" xfId="4" applyNumberFormat="1" applyFont="1" applyBorder="1"/>
    <xf numFmtId="164" fontId="75" fillId="0" borderId="51" xfId="4" applyNumberFormat="1" applyFont="1" applyBorder="1" applyAlignment="1">
      <alignment horizontal="left" wrapText="1"/>
    </xf>
    <xf numFmtId="164" fontId="75" fillId="0" borderId="48" xfId="4" applyNumberFormat="1" applyFont="1" applyBorder="1" applyAlignment="1">
      <alignment horizontal="left" wrapText="1"/>
    </xf>
    <xf numFmtId="0" fontId="75" fillId="0" borderId="52" xfId="0" applyFont="1" applyBorder="1" applyAlignment="1">
      <alignment horizontal="left"/>
    </xf>
    <xf numFmtId="0" fontId="75" fillId="0" borderId="0" xfId="0" applyFont="1" applyBorder="1" applyAlignment="1">
      <alignment horizontal="left"/>
    </xf>
    <xf numFmtId="0" fontId="75" fillId="0" borderId="0" xfId="0" applyNumberFormat="1" applyFont="1" applyBorder="1"/>
    <xf numFmtId="0" fontId="9" fillId="0" borderId="55" xfId="0" applyFont="1" applyBorder="1" applyAlignment="1">
      <alignment horizontal="left"/>
    </xf>
    <xf numFmtId="0" fontId="9" fillId="0" borderId="55" xfId="0" applyNumberFormat="1" applyFont="1" applyBorder="1"/>
    <xf numFmtId="0" fontId="9" fillId="0" borderId="60" xfId="0" applyNumberFormat="1" applyFont="1" applyBorder="1"/>
    <xf numFmtId="0" fontId="76" fillId="39" borderId="56" xfId="0" applyFont="1" applyFill="1" applyBorder="1"/>
    <xf numFmtId="0" fontId="76" fillId="9" borderId="0" xfId="0" applyFont="1" applyFill="1"/>
    <xf numFmtId="0" fontId="72" fillId="32" borderId="0" xfId="0" applyFont="1" applyFill="1"/>
    <xf numFmtId="0" fontId="71" fillId="14" borderId="0" xfId="0" applyFont="1" applyFill="1"/>
    <xf numFmtId="0" fontId="71" fillId="9" borderId="0" xfId="0" applyFont="1" applyFill="1"/>
    <xf numFmtId="0" fontId="69" fillId="34" borderId="0" xfId="0" applyFont="1" applyFill="1"/>
    <xf numFmtId="0" fontId="71" fillId="32" borderId="0" xfId="0" applyFont="1" applyFill="1"/>
    <xf numFmtId="0" fontId="69" fillId="10" borderId="0" xfId="0" applyFont="1" applyFill="1"/>
    <xf numFmtId="0" fontId="77" fillId="0" borderId="0" xfId="0" applyFont="1"/>
    <xf numFmtId="0" fontId="32" fillId="21" borderId="0" xfId="1" applyNumberFormat="1" applyFont="1" applyFill="1" applyBorder="1" applyAlignment="1">
      <alignment horizontal="center"/>
    </xf>
    <xf numFmtId="0" fontId="32" fillId="21" borderId="0" xfId="0" applyNumberFormat="1" applyFont="1" applyFill="1" applyBorder="1" applyAlignment="1">
      <alignment horizontal="center"/>
    </xf>
    <xf numFmtId="0" fontId="65" fillId="14" borderId="25" xfId="0" applyFont="1" applyFill="1" applyBorder="1" applyAlignment="1">
      <alignment horizontal="center" vertical="top" wrapText="1"/>
    </xf>
    <xf numFmtId="164" fontId="65" fillId="14" borderId="25" xfId="4" applyNumberFormat="1" applyFont="1" applyFill="1" applyBorder="1" applyAlignment="1">
      <alignment horizontal="center" vertical="top" wrapText="1"/>
    </xf>
    <xf numFmtId="164" fontId="66" fillId="10" borderId="25" xfId="4" applyNumberFormat="1" applyFont="1" applyFill="1" applyBorder="1" applyAlignment="1">
      <alignment horizontal="center" vertical="top" wrapText="1"/>
    </xf>
    <xf numFmtId="164" fontId="59" fillId="7" borderId="25" xfId="4" applyNumberFormat="1" applyFont="1" applyFill="1" applyBorder="1" applyAlignment="1">
      <alignment horizontal="center" vertical="top" wrapText="1"/>
    </xf>
    <xf numFmtId="0" fontId="65" fillId="8" borderId="25" xfId="0" applyFont="1" applyFill="1" applyBorder="1" applyAlignment="1">
      <alignment horizontal="center" vertical="top" wrapText="1"/>
    </xf>
    <xf numFmtId="164" fontId="65" fillId="8" borderId="25" xfId="4" applyNumberFormat="1" applyFont="1" applyFill="1" applyBorder="1" applyAlignment="1">
      <alignment horizontal="center" vertical="top" wrapText="1"/>
    </xf>
    <xf numFmtId="0" fontId="65" fillId="9" borderId="25" xfId="0" applyFont="1" applyFill="1" applyBorder="1" applyAlignment="1">
      <alignment horizontal="center" vertical="top" wrapText="1"/>
    </xf>
    <xf numFmtId="164" fontId="65" fillId="9" borderId="25" xfId="4" applyNumberFormat="1" applyFont="1" applyFill="1" applyBorder="1"/>
    <xf numFmtId="164" fontId="59" fillId="11" borderId="25" xfId="4" applyNumberFormat="1" applyFont="1" applyFill="1" applyBorder="1"/>
    <xf numFmtId="9" fontId="66" fillId="10" borderId="25" xfId="1" applyFont="1" applyFill="1" applyBorder="1" applyAlignment="1">
      <alignment horizontal="center" vertical="top" wrapText="1"/>
    </xf>
    <xf numFmtId="9" fontId="59" fillId="7" borderId="25" xfId="1" applyFont="1" applyFill="1" applyBorder="1" applyAlignment="1">
      <alignment horizontal="center" vertical="top" wrapText="1"/>
    </xf>
    <xf numFmtId="9" fontId="59" fillId="11" borderId="25" xfId="1" applyFont="1" applyFill="1" applyBorder="1" applyAlignment="1">
      <alignment horizontal="center" vertical="top" wrapText="1"/>
    </xf>
    <xf numFmtId="9" fontId="65" fillId="14" borderId="25" xfId="1" applyFont="1" applyFill="1" applyBorder="1"/>
    <xf numFmtId="9" fontId="65" fillId="8" borderId="25" xfId="1" applyFont="1" applyFill="1" applyBorder="1"/>
    <xf numFmtId="9" fontId="65" fillId="9" borderId="25" xfId="1" applyFont="1" applyFill="1" applyBorder="1"/>
    <xf numFmtId="0" fontId="59" fillId="0" borderId="0" xfId="0" applyFont="1" applyFill="1"/>
    <xf numFmtId="0" fontId="78" fillId="26" borderId="61" xfId="0" applyFont="1" applyFill="1" applyBorder="1"/>
    <xf numFmtId="0" fontId="71" fillId="41" borderId="0" xfId="0" applyFont="1" applyFill="1" applyAlignment="1">
      <alignment vertical="center"/>
    </xf>
    <xf numFmtId="1" fontId="79" fillId="0" borderId="0" xfId="0" applyNumberFormat="1" applyFont="1" applyFill="1"/>
    <xf numFmtId="0" fontId="79" fillId="0" borderId="0" xfId="0" applyFont="1" applyFill="1"/>
    <xf numFmtId="0" fontId="79" fillId="0" borderId="0" xfId="0" applyNumberFormat="1" applyFont="1" applyFill="1" applyAlignment="1">
      <alignment wrapText="1" readingOrder="1"/>
    </xf>
    <xf numFmtId="165" fontId="79" fillId="0" borderId="0" xfId="0" applyNumberFormat="1" applyFont="1" applyFill="1"/>
    <xf numFmtId="0" fontId="79" fillId="0" borderId="0" xfId="0" applyFont="1" applyFill="1" applyAlignment="1">
      <alignment wrapText="1" readingOrder="1"/>
    </xf>
    <xf numFmtId="0" fontId="79" fillId="0" borderId="0" xfId="0" applyNumberFormat="1" applyFont="1" applyFill="1" applyBorder="1"/>
    <xf numFmtId="0" fontId="79" fillId="0" borderId="28" xfId="0" applyNumberFormat="1" applyFont="1" applyFill="1" applyBorder="1"/>
    <xf numFmtId="1" fontId="79" fillId="0" borderId="29" xfId="0" applyNumberFormat="1" applyFont="1" applyFill="1" applyBorder="1"/>
    <xf numFmtId="164" fontId="59" fillId="0" borderId="0" xfId="4" applyNumberFormat="1" applyFont="1"/>
    <xf numFmtId="0" fontId="83" fillId="0" borderId="0" xfId="0" applyFont="1"/>
    <xf numFmtId="0" fontId="86" fillId="0" borderId="0" xfId="0" applyFont="1"/>
    <xf numFmtId="1" fontId="87" fillId="0" borderId="0" xfId="0" applyNumberFormat="1" applyFont="1" applyFill="1"/>
    <xf numFmtId="0" fontId="87" fillId="0" borderId="0" xfId="0" applyFont="1" applyFill="1"/>
    <xf numFmtId="0" fontId="87" fillId="0" borderId="0" xfId="0" applyNumberFormat="1" applyFont="1" applyFill="1" applyAlignment="1">
      <alignment wrapText="1" readingOrder="1"/>
    </xf>
    <xf numFmtId="165" fontId="87" fillId="0" borderId="0" xfId="0" applyNumberFormat="1" applyFont="1" applyFill="1"/>
    <xf numFmtId="0" fontId="87" fillId="0" borderId="0" xfId="0" applyFont="1" applyFill="1" applyAlignment="1">
      <alignment wrapText="1" readingOrder="1"/>
    </xf>
    <xf numFmtId="0" fontId="87" fillId="0" borderId="0" xfId="0" applyNumberFormat="1" applyFont="1" applyFill="1" applyBorder="1"/>
    <xf numFmtId="1" fontId="87" fillId="0" borderId="0" xfId="0" applyNumberFormat="1" applyFont="1" applyFill="1" applyBorder="1"/>
    <xf numFmtId="49" fontId="85" fillId="0" borderId="0" xfId="21" applyNumberFormat="1" applyFont="1" applyFill="1" applyBorder="1" applyAlignment="1">
      <alignment horizontal="left" vertical="center" wrapText="1"/>
    </xf>
    <xf numFmtId="1" fontId="88" fillId="0" borderId="0" xfId="0" applyNumberFormat="1" applyFont="1" applyFill="1"/>
    <xf numFmtId="0" fontId="88" fillId="0" borderId="0" xfId="0" applyFont="1" applyFill="1"/>
    <xf numFmtId="0" fontId="88" fillId="0" borderId="0" xfId="0" applyNumberFormat="1" applyFont="1" applyFill="1" applyAlignment="1">
      <alignment wrapText="1" readingOrder="1"/>
    </xf>
    <xf numFmtId="165" fontId="88" fillId="0" borderId="0" xfId="0" applyNumberFormat="1" applyFont="1" applyFill="1"/>
    <xf numFmtId="0" fontId="88" fillId="0" borderId="0" xfId="0" applyFont="1" applyFill="1" applyAlignment="1">
      <alignment wrapText="1" readingOrder="1"/>
    </xf>
    <xf numFmtId="0" fontId="88" fillId="0" borderId="0" xfId="0" applyNumberFormat="1" applyFont="1" applyFill="1" applyBorder="1"/>
    <xf numFmtId="1" fontId="88" fillId="0" borderId="0" xfId="0" applyNumberFormat="1" applyFont="1" applyFill="1" applyBorder="1"/>
    <xf numFmtId="0" fontId="83" fillId="0" borderId="30" xfId="0" applyFont="1" applyBorder="1"/>
    <xf numFmtId="0" fontId="83" fillId="31" borderId="30" xfId="0" applyFont="1" applyFill="1" applyBorder="1"/>
    <xf numFmtId="0" fontId="10" fillId="0" borderId="0" xfId="19" applyFont="1" applyAlignment="1">
      <alignment horizontal="left" vertical="center"/>
    </xf>
    <xf numFmtId="0" fontId="23" fillId="0" borderId="0" xfId="22" applyFont="1" applyAlignment="1">
      <alignment horizontal="left" vertical="center"/>
    </xf>
    <xf numFmtId="0" fontId="10" fillId="0" borderId="0" xfId="19" applyAlignment="1">
      <alignment horizontal="left" vertical="center"/>
    </xf>
    <xf numFmtId="0" fontId="46" fillId="24" borderId="76" xfId="23" applyFont="1" applyBorder="1" applyAlignment="1">
      <alignment horizontal="center" vertical="center" wrapText="1"/>
    </xf>
    <xf numFmtId="0" fontId="47" fillId="25" borderId="76" xfId="24" applyFont="1" applyBorder="1" applyAlignment="1">
      <alignment horizontal="center" vertical="center" wrapText="1"/>
    </xf>
    <xf numFmtId="0" fontId="48" fillId="26" borderId="76" xfId="22" applyFont="1" applyFill="1" applyBorder="1" applyAlignment="1">
      <alignment horizontal="center" vertical="center"/>
    </xf>
    <xf numFmtId="0" fontId="44" fillId="24" borderId="76" xfId="23" applyBorder="1" applyAlignment="1">
      <alignment horizontal="left" vertical="center"/>
    </xf>
    <xf numFmtId="0" fontId="45" fillId="25" borderId="76" xfId="24" applyBorder="1" applyAlignment="1">
      <alignment horizontal="left" vertical="center"/>
    </xf>
    <xf numFmtId="0" fontId="23" fillId="43" borderId="76" xfId="22" applyFont="1" applyFill="1" applyBorder="1" applyAlignment="1">
      <alignment horizontal="left" vertical="center"/>
    </xf>
    <xf numFmtId="0" fontId="24" fillId="18" borderId="76" xfId="19" applyFont="1" applyFill="1" applyBorder="1" applyAlignment="1">
      <alignment horizontal="left" vertical="center" wrapText="1" readingOrder="1"/>
    </xf>
    <xf numFmtId="0" fontId="52" fillId="5" borderId="76" xfId="23" applyFont="1" applyFill="1" applyBorder="1" applyAlignment="1">
      <alignment horizontal="left" vertical="center"/>
    </xf>
    <xf numFmtId="0" fontId="52" fillId="5" borderId="76" xfId="24" applyFont="1" applyFill="1" applyBorder="1" applyAlignment="1">
      <alignment horizontal="left" vertical="center"/>
    </xf>
    <xf numFmtId="0" fontId="49" fillId="26" borderId="76" xfId="22" applyFont="1" applyFill="1" applyBorder="1" applyAlignment="1">
      <alignment horizontal="left" vertical="center" wrapText="1"/>
    </xf>
    <xf numFmtId="1" fontId="24" fillId="18" borderId="76" xfId="19" applyNumberFormat="1" applyFont="1" applyFill="1" applyBorder="1" applyAlignment="1">
      <alignment horizontal="left" vertical="center" wrapText="1" readingOrder="1"/>
    </xf>
    <xf numFmtId="0" fontId="44" fillId="24" borderId="79" xfId="23" applyBorder="1" applyAlignment="1">
      <alignment horizontal="left" vertical="center"/>
    </xf>
    <xf numFmtId="0" fontId="45" fillId="25" borderId="79" xfId="24" applyBorder="1" applyAlignment="1">
      <alignment horizontal="left" vertical="center"/>
    </xf>
    <xf numFmtId="9" fontId="24" fillId="18" borderId="76" xfId="19" applyNumberFormat="1" applyFont="1" applyFill="1" applyBorder="1" applyAlignment="1">
      <alignment horizontal="left" vertical="center" wrapText="1" readingOrder="1"/>
    </xf>
    <xf numFmtId="9" fontId="24" fillId="18" borderId="76" xfId="20" applyNumberFormat="1" applyFont="1" applyFill="1" applyBorder="1" applyAlignment="1">
      <alignment horizontal="left" vertical="center" wrapText="1" readingOrder="1"/>
    </xf>
    <xf numFmtId="0" fontId="54" fillId="8" borderId="76" xfId="23" applyFont="1" applyFill="1" applyBorder="1" applyAlignment="1">
      <alignment horizontal="left" vertical="center"/>
    </xf>
    <xf numFmtId="0" fontId="54" fillId="8" borderId="76" xfId="24" applyFont="1" applyFill="1" applyBorder="1" applyAlignment="1">
      <alignment horizontal="left" vertical="center"/>
    </xf>
    <xf numFmtId="0" fontId="50" fillId="26" borderId="76" xfId="22" applyFont="1" applyFill="1" applyBorder="1" applyAlignment="1">
      <alignment horizontal="left" vertical="center" wrapText="1"/>
    </xf>
    <xf numFmtId="1" fontId="24" fillId="7" borderId="76" xfId="19" applyNumberFormat="1" applyFont="1" applyFill="1" applyBorder="1" applyAlignment="1">
      <alignment horizontal="left" vertical="center" wrapText="1" readingOrder="1"/>
    </xf>
    <xf numFmtId="0" fontId="55" fillId="36" borderId="76" xfId="23" applyFont="1" applyFill="1" applyBorder="1" applyAlignment="1">
      <alignment horizontal="left" vertical="center"/>
    </xf>
    <xf numFmtId="0" fontId="55" fillId="36" borderId="76" xfId="24" applyFont="1" applyFill="1" applyBorder="1" applyAlignment="1">
      <alignment horizontal="left" vertical="center"/>
    </xf>
    <xf numFmtId="0" fontId="51" fillId="26" borderId="76" xfId="22" applyFont="1" applyFill="1" applyBorder="1" applyAlignment="1">
      <alignment horizontal="left" vertical="center" wrapText="1"/>
    </xf>
    <xf numFmtId="0" fontId="76" fillId="36" borderId="76" xfId="23" applyFont="1" applyFill="1" applyBorder="1" applyAlignment="1">
      <alignment horizontal="left" vertical="center" wrapText="1"/>
    </xf>
    <xf numFmtId="0" fontId="23" fillId="43" borderId="79" xfId="22" applyFont="1" applyFill="1" applyBorder="1" applyAlignment="1">
      <alignment horizontal="left" vertical="center"/>
    </xf>
    <xf numFmtId="0" fontId="12" fillId="0" borderId="0" xfId="22" applyAlignment="1">
      <alignment vertical="top" wrapText="1"/>
    </xf>
    <xf numFmtId="0" fontId="37" fillId="0" borderId="0" xfId="22" applyFont="1" applyAlignment="1">
      <alignment vertical="top" wrapText="1"/>
    </xf>
    <xf numFmtId="0" fontId="12" fillId="0" borderId="0" xfId="22" applyAlignment="1">
      <alignment wrapText="1"/>
    </xf>
    <xf numFmtId="0" fontId="18" fillId="12" borderId="4" xfId="22" applyFont="1" applyFill="1" applyBorder="1" applyAlignment="1">
      <alignment vertical="top" wrapText="1"/>
    </xf>
    <xf numFmtId="0" fontId="21" fillId="10" borderId="4" xfId="22" applyFont="1" applyFill="1" applyBorder="1" applyAlignment="1">
      <alignment horizontal="left" vertical="top" wrapText="1"/>
    </xf>
    <xf numFmtId="0" fontId="21" fillId="10" borderId="4" xfId="22" applyFont="1" applyFill="1" applyBorder="1" applyAlignment="1">
      <alignment horizontal="left" vertical="center" wrapText="1"/>
    </xf>
    <xf numFmtId="0" fontId="19" fillId="7" borderId="4" xfId="22" applyFont="1" applyFill="1" applyBorder="1" applyAlignment="1">
      <alignment vertical="top" wrapText="1"/>
    </xf>
    <xf numFmtId="0" fontId="19" fillId="11" borderId="4" xfId="22" applyFont="1" applyFill="1" applyBorder="1" applyAlignment="1">
      <alignment vertical="top" wrapText="1"/>
    </xf>
    <xf numFmtId="9" fontId="12" fillId="0" borderId="0" xfId="22" applyNumberFormat="1" applyAlignment="1">
      <alignment vertical="top" wrapText="1"/>
    </xf>
    <xf numFmtId="0" fontId="16" fillId="44" borderId="76" xfId="22" applyNumberFormat="1" applyFont="1" applyFill="1" applyBorder="1" applyAlignment="1">
      <alignment horizontal="center" vertical="center"/>
    </xf>
    <xf numFmtId="0" fontId="16" fillId="2" borderId="76" xfId="22" applyNumberFormat="1" applyFont="1" applyFill="1" applyBorder="1" applyAlignment="1">
      <alignment horizontal="center" vertical="center"/>
    </xf>
    <xf numFmtId="0" fontId="16" fillId="37" borderId="76" xfId="22" applyNumberFormat="1" applyFont="1" applyFill="1" applyBorder="1" applyAlignment="1">
      <alignment horizontal="center" vertical="center"/>
    </xf>
    <xf numFmtId="1" fontId="58" fillId="18" borderId="14" xfId="0" applyNumberFormat="1" applyFont="1" applyFill="1" applyBorder="1" applyAlignment="1">
      <alignment horizontal="left" vertical="top" wrapText="1" readingOrder="1"/>
    </xf>
    <xf numFmtId="0" fontId="58" fillId="27" borderId="76" xfId="22" applyNumberFormat="1" applyFont="1" applyFill="1" applyBorder="1" applyAlignment="1">
      <alignment horizontal="center" vertical="center" wrapText="1"/>
    </xf>
    <xf numFmtId="14" fontId="57" fillId="12" borderId="76" xfId="19" applyNumberFormat="1" applyFont="1" applyFill="1" applyBorder="1" applyAlignment="1">
      <alignment horizontal="center" vertical="center" wrapText="1"/>
    </xf>
    <xf numFmtId="14" fontId="57" fillId="22" borderId="76" xfId="19" applyNumberFormat="1" applyFont="1" applyFill="1" applyBorder="1" applyAlignment="1">
      <alignment horizontal="center" vertical="center" wrapText="1"/>
    </xf>
    <xf numFmtId="14" fontId="17" fillId="17" borderId="76" xfId="19" applyNumberFormat="1" applyFont="1" applyFill="1" applyBorder="1" applyAlignment="1">
      <alignment horizontal="center" vertical="center" wrapText="1" readingOrder="1"/>
    </xf>
    <xf numFmtId="0" fontId="32" fillId="14" borderId="0" xfId="0" applyFont="1" applyFill="1" applyBorder="1" applyAlignment="1"/>
    <xf numFmtId="1" fontId="32" fillId="8" borderId="0" xfId="0" applyNumberFormat="1" applyFont="1" applyFill="1" applyBorder="1" applyAlignment="1"/>
    <xf numFmtId="0" fontId="16" fillId="9" borderId="80" xfId="22" applyNumberFormat="1" applyFont="1" applyFill="1" applyBorder="1" applyAlignment="1">
      <alignment horizontal="center" vertical="center"/>
    </xf>
    <xf numFmtId="0" fontId="93" fillId="37" borderId="76" xfId="22" applyNumberFormat="1" applyFont="1" applyFill="1" applyBorder="1" applyAlignment="1">
      <alignment horizontal="left" vertical="center"/>
    </xf>
    <xf numFmtId="0" fontId="16" fillId="6" borderId="76" xfId="22" applyNumberFormat="1" applyFont="1" applyFill="1" applyBorder="1" applyAlignment="1">
      <alignment horizontal="center" vertical="center"/>
    </xf>
    <xf numFmtId="0" fontId="93" fillId="6" borderId="76" xfId="22" applyNumberFormat="1" applyFont="1" applyFill="1" applyBorder="1" applyAlignment="1">
      <alignment horizontal="left" vertical="center"/>
    </xf>
    <xf numFmtId="14" fontId="57" fillId="17" borderId="14" xfId="0" applyNumberFormat="1" applyFont="1" applyFill="1" applyBorder="1" applyAlignment="1">
      <alignment horizontal="left" vertical="top" wrapText="1" readingOrder="1"/>
    </xf>
    <xf numFmtId="0" fontId="58" fillId="18" borderId="14" xfId="0" applyFont="1" applyFill="1" applyBorder="1" applyAlignment="1">
      <alignment horizontal="left" vertical="top" wrapText="1" readingOrder="1"/>
    </xf>
    <xf numFmtId="0" fontId="58" fillId="22" borderId="19" xfId="0" applyNumberFormat="1" applyFont="1" applyFill="1" applyBorder="1" applyAlignment="1">
      <alignment horizontal="left" vertical="top" wrapText="1" readingOrder="1"/>
    </xf>
    <xf numFmtId="0" fontId="58" fillId="22" borderId="20" xfId="0" applyNumberFormat="1" applyFont="1" applyFill="1" applyBorder="1" applyAlignment="1">
      <alignment horizontal="left" vertical="top" wrapText="1" readingOrder="1"/>
    </xf>
    <xf numFmtId="0" fontId="58" fillId="22" borderId="2" xfId="0" applyNumberFormat="1" applyFont="1" applyFill="1" applyBorder="1" applyAlignment="1">
      <alignment horizontal="left" vertical="center" wrapText="1" readingOrder="1"/>
    </xf>
    <xf numFmtId="0" fontId="56" fillId="0" borderId="0" xfId="0" applyFont="1" applyAlignment="1">
      <alignment vertical="top" wrapText="1"/>
    </xf>
    <xf numFmtId="0" fontId="94" fillId="18" borderId="76" xfId="19" applyFont="1" applyFill="1" applyBorder="1" applyAlignment="1">
      <alignment horizontal="left" vertical="center" wrapText="1" readingOrder="1"/>
    </xf>
    <xf numFmtId="1" fontId="94" fillId="18" borderId="76" xfId="19" applyNumberFormat="1" applyFont="1" applyFill="1" applyBorder="1" applyAlignment="1">
      <alignment horizontal="left" vertical="center" wrapText="1" readingOrder="1"/>
    </xf>
    <xf numFmtId="0" fontId="95" fillId="18" borderId="76" xfId="19" applyFont="1" applyFill="1" applyBorder="1" applyAlignment="1">
      <alignment horizontal="left" vertical="center" wrapText="1" readingOrder="1"/>
    </xf>
    <xf numFmtId="0" fontId="94" fillId="18" borderId="76" xfId="19" applyFont="1" applyFill="1" applyBorder="1" applyAlignment="1">
      <alignment horizontal="left" vertical="center" wrapText="1"/>
    </xf>
    <xf numFmtId="1" fontId="95" fillId="18" borderId="76" xfId="19" applyNumberFormat="1" applyFont="1" applyFill="1" applyBorder="1" applyAlignment="1">
      <alignment horizontal="left" vertical="center" wrapText="1" readingOrder="1"/>
    </xf>
    <xf numFmtId="1" fontId="95" fillId="7" borderId="76" xfId="19" applyNumberFormat="1" applyFont="1" applyFill="1" applyBorder="1" applyAlignment="1">
      <alignment horizontal="left" vertical="center" wrapText="1" readingOrder="1"/>
    </xf>
    <xf numFmtId="0" fontId="94" fillId="28" borderId="76" xfId="19" applyFont="1" applyFill="1" applyBorder="1" applyAlignment="1">
      <alignment horizontal="left" vertical="center" wrapText="1"/>
    </xf>
    <xf numFmtId="14" fontId="95" fillId="7" borderId="76" xfId="19" applyNumberFormat="1" applyFont="1" applyFill="1" applyBorder="1" applyAlignment="1">
      <alignment horizontal="left" vertical="center" wrapText="1" readingOrder="1"/>
    </xf>
    <xf numFmtId="0" fontId="95" fillId="11" borderId="76" xfId="20" applyNumberFormat="1" applyFont="1" applyFill="1" applyBorder="1" applyAlignment="1">
      <alignment horizontal="left" vertical="center" wrapText="1" readingOrder="1"/>
    </xf>
    <xf numFmtId="1" fontId="95" fillId="11" borderId="76" xfId="19" applyNumberFormat="1" applyFont="1" applyFill="1" applyBorder="1" applyAlignment="1">
      <alignment horizontal="left" vertical="center" wrapText="1" readingOrder="1"/>
    </xf>
    <xf numFmtId="0" fontId="94" fillId="0" borderId="76" xfId="19" applyFont="1" applyFill="1" applyBorder="1" applyAlignment="1">
      <alignment horizontal="left" vertical="center" wrapText="1"/>
    </xf>
    <xf numFmtId="0" fontId="94" fillId="30" borderId="76" xfId="20" applyNumberFormat="1" applyFont="1" applyFill="1" applyBorder="1" applyAlignment="1">
      <alignment horizontal="left" vertical="center" wrapText="1" readingOrder="1"/>
    </xf>
    <xf numFmtId="14" fontId="95" fillId="17" borderId="76" xfId="19" applyNumberFormat="1" applyFont="1" applyFill="1" applyBorder="1" applyAlignment="1">
      <alignment horizontal="left" vertical="center" wrapText="1" readingOrder="1"/>
    </xf>
    <xf numFmtId="0" fontId="97" fillId="16" borderId="76" xfId="19" applyFont="1" applyFill="1" applyBorder="1" applyAlignment="1">
      <alignment horizontal="center" vertical="center" wrapText="1"/>
    </xf>
    <xf numFmtId="0" fontId="100" fillId="22" borderId="13" xfId="0" applyNumberFormat="1" applyFont="1" applyFill="1" applyBorder="1" applyAlignment="1">
      <alignment horizontal="left" vertical="center" wrapText="1" readingOrder="1"/>
    </xf>
    <xf numFmtId="0" fontId="100" fillId="22" borderId="2" xfId="0" applyNumberFormat="1" applyFont="1" applyFill="1" applyBorder="1" applyAlignment="1">
      <alignment horizontal="left" vertical="center" wrapText="1" readingOrder="1"/>
    </xf>
    <xf numFmtId="0" fontId="98" fillId="0" borderId="0" xfId="0" applyFont="1" applyAlignment="1"/>
    <xf numFmtId="0" fontId="45" fillId="25" borderId="77" xfId="24" applyBorder="1" applyAlignment="1">
      <alignment horizontal="left" vertical="center"/>
    </xf>
    <xf numFmtId="0" fontId="23" fillId="43" borderId="77" xfId="22" applyFont="1" applyFill="1" applyBorder="1" applyAlignment="1">
      <alignment horizontal="left" vertical="center"/>
    </xf>
    <xf numFmtId="0" fontId="52" fillId="5" borderId="0" xfId="23" applyFont="1" applyFill="1" applyBorder="1" applyAlignment="1">
      <alignment horizontal="left" vertical="center"/>
    </xf>
    <xf numFmtId="0" fontId="52" fillId="5" borderId="0" xfId="24" applyFont="1" applyFill="1" applyBorder="1" applyAlignment="1">
      <alignment horizontal="left" vertical="center"/>
    </xf>
    <xf numFmtId="0" fontId="49" fillId="26" borderId="0" xfId="22" applyFont="1" applyFill="1" applyBorder="1" applyAlignment="1">
      <alignment horizontal="left" vertical="center" wrapText="1"/>
    </xf>
    <xf numFmtId="14" fontId="24" fillId="18" borderId="76" xfId="19" applyNumberFormat="1" applyFont="1" applyFill="1" applyBorder="1" applyAlignment="1">
      <alignment horizontal="left" vertical="center" wrapText="1" readingOrder="1"/>
    </xf>
    <xf numFmtId="0" fontId="24" fillId="10" borderId="76" xfId="19" applyFont="1" applyFill="1" applyBorder="1" applyAlignment="1">
      <alignment horizontal="left" vertical="center" wrapText="1"/>
    </xf>
    <xf numFmtId="14" fontId="94" fillId="18" borderId="76" xfId="19" applyNumberFormat="1" applyFont="1" applyFill="1" applyBorder="1" applyAlignment="1">
      <alignment horizontal="left" vertical="center" wrapText="1" readingOrder="1"/>
    </xf>
    <xf numFmtId="9" fontId="24" fillId="11" borderId="76" xfId="19" applyNumberFormat="1" applyFont="1" applyFill="1" applyBorder="1" applyAlignment="1">
      <alignment horizontal="left" vertical="center" wrapText="1" readingOrder="1"/>
    </xf>
    <xf numFmtId="0" fontId="44" fillId="24" borderId="78" xfId="23" applyBorder="1" applyAlignment="1">
      <alignment horizontal="left" vertical="center"/>
    </xf>
    <xf numFmtId="0" fontId="44" fillId="24" borderId="83" xfId="23" applyBorder="1" applyAlignment="1">
      <alignment horizontal="left" vertical="center"/>
    </xf>
    <xf numFmtId="1" fontId="24" fillId="18" borderId="76" xfId="20" applyNumberFormat="1" applyFont="1" applyFill="1" applyBorder="1" applyAlignment="1">
      <alignment horizontal="left" vertical="center" wrapText="1" readingOrder="1"/>
    </xf>
    <xf numFmtId="0" fontId="16" fillId="2" borderId="76" xfId="22" applyNumberFormat="1" applyFont="1" applyFill="1" applyBorder="1" applyAlignment="1">
      <alignment horizontal="center" vertical="center" wrapText="1"/>
    </xf>
    <xf numFmtId="0" fontId="16" fillId="6" borderId="76" xfId="22" applyNumberFormat="1" applyFont="1" applyFill="1" applyBorder="1" applyAlignment="1">
      <alignment horizontal="center" vertical="center" wrapText="1"/>
    </xf>
    <xf numFmtId="0" fontId="16" fillId="37" borderId="76" xfId="22" applyNumberFormat="1" applyFont="1" applyFill="1" applyBorder="1" applyAlignment="1">
      <alignment horizontal="center" vertical="center" wrapText="1"/>
    </xf>
    <xf numFmtId="0" fontId="16" fillId="44" borderId="76" xfId="22" applyNumberFormat="1" applyFont="1" applyFill="1" applyBorder="1" applyAlignment="1">
      <alignment horizontal="center" vertical="center" wrapText="1"/>
    </xf>
    <xf numFmtId="0" fontId="26" fillId="22" borderId="13" xfId="0" applyNumberFormat="1" applyFont="1" applyFill="1" applyBorder="1" applyAlignment="1">
      <alignment horizontal="left" vertical="center" wrapText="1" readingOrder="1"/>
    </xf>
    <xf numFmtId="0" fontId="26" fillId="22" borderId="2" xfId="0" applyNumberFormat="1" applyFont="1" applyFill="1" applyBorder="1" applyAlignment="1">
      <alignment horizontal="left" vertical="center" wrapText="1" readingOrder="1"/>
    </xf>
    <xf numFmtId="0" fontId="28" fillId="0" borderId="0" xfId="0" applyFont="1" applyAlignment="1">
      <alignment wrapText="1"/>
    </xf>
    <xf numFmtId="0" fontId="102" fillId="0" borderId="0" xfId="19" applyFont="1" applyAlignment="1">
      <alignment horizontal="left" vertical="center"/>
    </xf>
    <xf numFmtId="0" fontId="24" fillId="0" borderId="0" xfId="22" applyFont="1" applyAlignment="1">
      <alignment horizontal="left" vertical="center"/>
    </xf>
    <xf numFmtId="0" fontId="26" fillId="16" borderId="76" xfId="22" applyFont="1" applyFill="1" applyBorder="1" applyAlignment="1">
      <alignment horizontal="center" vertical="center" wrapText="1"/>
    </xf>
    <xf numFmtId="0" fontId="26" fillId="16" borderId="76" xfId="19" applyFont="1" applyFill="1" applyBorder="1" applyAlignment="1">
      <alignment horizontal="center" vertical="center" wrapText="1"/>
    </xf>
    <xf numFmtId="0" fontId="102" fillId="0" borderId="0" xfId="19" applyFont="1" applyAlignment="1">
      <alignment horizontal="center" vertical="center"/>
    </xf>
    <xf numFmtId="0" fontId="26" fillId="2" borderId="76" xfId="22" applyNumberFormat="1" applyFont="1" applyFill="1" applyBorder="1" applyAlignment="1">
      <alignment horizontal="left" vertical="center" indent="1" readingOrder="1"/>
    </xf>
    <xf numFmtId="14" fontId="24" fillId="17" borderId="76" xfId="19" applyNumberFormat="1" applyFont="1" applyFill="1" applyBorder="1" applyAlignment="1">
      <alignment horizontal="left" vertical="center" wrapText="1" readingOrder="1"/>
    </xf>
    <xf numFmtId="0" fontId="24" fillId="0" borderId="76" xfId="19" applyFont="1" applyFill="1" applyBorder="1" applyAlignment="1">
      <alignment horizontal="left" vertical="center" wrapText="1"/>
    </xf>
    <xf numFmtId="0" fontId="26" fillId="14" borderId="76" xfId="22" applyNumberFormat="1" applyFont="1" applyFill="1" applyBorder="1" applyAlignment="1">
      <alignment horizontal="left" vertical="center" indent="1" readingOrder="1"/>
    </xf>
    <xf numFmtId="1" fontId="24" fillId="18" borderId="79" xfId="20" applyNumberFormat="1" applyFont="1" applyFill="1" applyBorder="1" applyAlignment="1">
      <alignment horizontal="left" vertical="center" wrapText="1" readingOrder="1"/>
    </xf>
    <xf numFmtId="0" fontId="24" fillId="18" borderId="79" xfId="19" applyFont="1" applyFill="1" applyBorder="1" applyAlignment="1">
      <alignment horizontal="left" vertical="center" wrapText="1" readingOrder="1"/>
    </xf>
    <xf numFmtId="1" fontId="24" fillId="18" borderId="79" xfId="19" applyNumberFormat="1" applyFont="1" applyFill="1" applyBorder="1" applyAlignment="1">
      <alignment horizontal="left" vertical="center" wrapText="1" readingOrder="1"/>
    </xf>
    <xf numFmtId="0" fontId="26" fillId="38" borderId="76" xfId="22" applyNumberFormat="1" applyFont="1" applyFill="1" applyBorder="1" applyAlignment="1">
      <alignment horizontal="left" vertical="center" indent="1" readingOrder="1"/>
    </xf>
    <xf numFmtId="0" fontId="24" fillId="28" borderId="76" xfId="19" applyFont="1" applyFill="1" applyBorder="1" applyAlignment="1">
      <alignment horizontal="left" vertical="center" wrapText="1"/>
    </xf>
    <xf numFmtId="1" fontId="24" fillId="7" borderId="76" xfId="20" applyNumberFormat="1" applyFont="1" applyFill="1" applyBorder="1" applyAlignment="1">
      <alignment horizontal="left" vertical="center" wrapText="1" readingOrder="1"/>
    </xf>
    <xf numFmtId="14" fontId="24" fillId="7" borderId="76" xfId="19" applyNumberFormat="1" applyFont="1" applyFill="1" applyBorder="1" applyAlignment="1">
      <alignment horizontal="left" vertical="center" wrapText="1" readingOrder="1"/>
    </xf>
    <xf numFmtId="0" fontId="24" fillId="7" borderId="76" xfId="19" applyFont="1" applyFill="1" applyBorder="1" applyAlignment="1">
      <alignment horizontal="left" vertical="center" wrapText="1" readingOrder="1"/>
    </xf>
    <xf numFmtId="0" fontId="26" fillId="9" borderId="76" xfId="22" applyNumberFormat="1" applyFont="1" applyFill="1" applyBorder="1" applyAlignment="1">
      <alignment horizontal="left" vertical="center" indent="1" readingOrder="1"/>
    </xf>
    <xf numFmtId="0" fontId="24" fillId="11" borderId="76" xfId="20" applyNumberFormat="1" applyFont="1" applyFill="1" applyBorder="1" applyAlignment="1">
      <alignment horizontal="left" vertical="center" wrapText="1" readingOrder="1"/>
    </xf>
    <xf numFmtId="1" fontId="24" fillId="11" borderId="76" xfId="19" applyNumberFormat="1" applyFont="1" applyFill="1" applyBorder="1" applyAlignment="1">
      <alignment horizontal="left" vertical="center" wrapText="1" readingOrder="1"/>
    </xf>
    <xf numFmtId="0" fontId="24" fillId="30" borderId="76" xfId="19" applyFont="1" applyFill="1" applyBorder="1" applyAlignment="1">
      <alignment horizontal="left" vertical="center" wrapText="1"/>
    </xf>
    <xf numFmtId="9" fontId="24" fillId="11" borderId="79" xfId="19" applyNumberFormat="1" applyFont="1" applyFill="1" applyBorder="1" applyAlignment="1">
      <alignment horizontal="left" vertical="center" wrapText="1" readingOrder="1"/>
    </xf>
    <xf numFmtId="0" fontId="24" fillId="30" borderId="79" xfId="19" applyFont="1" applyFill="1" applyBorder="1" applyAlignment="1">
      <alignment horizontal="left" vertical="center" wrapText="1"/>
    </xf>
    <xf numFmtId="0" fontId="58" fillId="0" borderId="0" xfId="19" applyFont="1" applyAlignment="1">
      <alignment horizontal="left" vertical="center"/>
    </xf>
    <xf numFmtId="0" fontId="24" fillId="0" borderId="0" xfId="19" applyFont="1" applyAlignment="1">
      <alignment horizontal="left" vertical="center"/>
    </xf>
    <xf numFmtId="0" fontId="104" fillId="0" borderId="0" xfId="19" applyFont="1" applyAlignment="1">
      <alignment horizontal="left" vertical="center"/>
    </xf>
    <xf numFmtId="0" fontId="104" fillId="0" borderId="0" xfId="19" applyFont="1" applyAlignment="1">
      <alignment horizontal="center" vertical="center"/>
    </xf>
    <xf numFmtId="0" fontId="26" fillId="14" borderId="78" xfId="22" applyNumberFormat="1" applyFont="1" applyFill="1" applyBorder="1" applyAlignment="1">
      <alignment horizontal="left" vertical="center" indent="1" readingOrder="1"/>
    </xf>
    <xf numFmtId="0" fontId="104" fillId="0" borderId="0" xfId="19" applyFont="1" applyBorder="1" applyAlignment="1">
      <alignment horizontal="left" vertical="center"/>
    </xf>
    <xf numFmtId="0" fontId="96" fillId="0" borderId="0" xfId="19" applyFont="1" applyAlignment="1">
      <alignment horizontal="left" vertical="center"/>
    </xf>
    <xf numFmtId="0" fontId="94" fillId="0" borderId="0" xfId="19" applyFont="1" applyAlignment="1">
      <alignment horizontal="left" vertical="center"/>
    </xf>
    <xf numFmtId="0" fontId="95" fillId="0" borderId="0" xfId="19" applyFont="1" applyAlignment="1">
      <alignment horizontal="left" vertical="center"/>
    </xf>
    <xf numFmtId="0" fontId="16" fillId="9" borderId="0" xfId="22" applyNumberFormat="1" applyFont="1" applyFill="1" applyBorder="1" applyAlignment="1">
      <alignment horizontal="center" vertical="center"/>
    </xf>
    <xf numFmtId="14" fontId="17" fillId="17" borderId="76" xfId="19" applyNumberFormat="1" applyFont="1" applyFill="1" applyBorder="1" applyAlignment="1">
      <alignment horizontal="center" vertical="center" wrapText="1"/>
    </xf>
    <xf numFmtId="14" fontId="17" fillId="7" borderId="76" xfId="19" applyNumberFormat="1" applyFont="1" applyFill="1" applyBorder="1" applyAlignment="1">
      <alignment horizontal="center" vertical="center" wrapText="1"/>
    </xf>
    <xf numFmtId="14" fontId="17" fillId="27" borderId="76" xfId="19" applyNumberFormat="1" applyFont="1" applyFill="1" applyBorder="1" applyAlignment="1">
      <alignment horizontal="center" vertical="center" wrapText="1"/>
    </xf>
    <xf numFmtId="14" fontId="17" fillId="22" borderId="76" xfId="19" applyNumberFormat="1" applyFont="1" applyFill="1" applyBorder="1" applyAlignment="1">
      <alignment horizontal="center" vertical="center" wrapText="1"/>
    </xf>
    <xf numFmtId="14" fontId="17" fillId="17" borderId="82" xfId="19" applyNumberFormat="1" applyFont="1" applyFill="1" applyBorder="1" applyAlignment="1">
      <alignment horizontal="center" vertical="center" wrapText="1"/>
    </xf>
    <xf numFmtId="14" fontId="105" fillId="17" borderId="76" xfId="19" applyNumberFormat="1" applyFont="1" applyFill="1" applyBorder="1" applyAlignment="1">
      <alignment horizontal="center" vertical="center" wrapText="1"/>
    </xf>
    <xf numFmtId="14" fontId="105" fillId="7" borderId="76" xfId="19" applyNumberFormat="1" applyFont="1" applyFill="1" applyBorder="1" applyAlignment="1">
      <alignment horizontal="center" vertical="center" wrapText="1"/>
    </xf>
    <xf numFmtId="14" fontId="105" fillId="27" borderId="76" xfId="19" applyNumberFormat="1" applyFont="1" applyFill="1" applyBorder="1" applyAlignment="1">
      <alignment horizontal="center" vertical="center" wrapText="1"/>
    </xf>
    <xf numFmtId="14" fontId="105" fillId="22" borderId="76" xfId="19" applyNumberFormat="1" applyFont="1" applyFill="1" applyBorder="1" applyAlignment="1">
      <alignment horizontal="center" vertical="center" wrapText="1"/>
    </xf>
    <xf numFmtId="14" fontId="105" fillId="17" borderId="82" xfId="19" applyNumberFormat="1" applyFont="1" applyFill="1" applyBorder="1" applyAlignment="1">
      <alignment horizontal="center" vertical="center" wrapText="1"/>
    </xf>
    <xf numFmtId="0" fontId="106" fillId="18" borderId="81" xfId="19" applyFont="1" applyFill="1" applyBorder="1" applyAlignment="1">
      <alignment horizontal="center" vertical="center" wrapText="1"/>
    </xf>
    <xf numFmtId="1" fontId="107" fillId="7" borderId="76" xfId="19" applyNumberFormat="1" applyFont="1" applyFill="1" applyBorder="1" applyAlignment="1">
      <alignment horizontal="center" vertical="center" wrapText="1"/>
    </xf>
    <xf numFmtId="1" fontId="107" fillId="7" borderId="76" xfId="20" applyNumberFormat="1" applyFont="1" applyFill="1" applyBorder="1" applyAlignment="1">
      <alignment horizontal="center" vertical="center" wrapText="1"/>
    </xf>
    <xf numFmtId="1" fontId="106" fillId="7" borderId="76" xfId="19" applyNumberFormat="1" applyFont="1" applyFill="1" applyBorder="1" applyAlignment="1">
      <alignment horizontal="center" vertical="center" wrapText="1"/>
    </xf>
    <xf numFmtId="0" fontId="105" fillId="7" borderId="76" xfId="19" applyFont="1" applyFill="1" applyBorder="1" applyAlignment="1">
      <alignment horizontal="center" vertical="center" wrapText="1"/>
    </xf>
    <xf numFmtId="0" fontId="107" fillId="7" borderId="76" xfId="19" applyFont="1" applyFill="1" applyBorder="1" applyAlignment="1">
      <alignment horizontal="center" vertical="center" wrapText="1"/>
    </xf>
    <xf numFmtId="1" fontId="107" fillId="11" borderId="76" xfId="19" applyNumberFormat="1" applyFont="1" applyFill="1" applyBorder="1" applyAlignment="1">
      <alignment horizontal="center" vertical="center" wrapText="1"/>
    </xf>
    <xf numFmtId="1" fontId="105" fillId="11" borderId="76" xfId="19" applyNumberFormat="1" applyFont="1" applyFill="1" applyBorder="1" applyAlignment="1">
      <alignment horizontal="center" vertical="center" wrapText="1"/>
    </xf>
    <xf numFmtId="9" fontId="107" fillId="11" borderId="76" xfId="19" applyNumberFormat="1" applyFont="1" applyFill="1" applyBorder="1" applyAlignment="1">
      <alignment horizontal="center" vertical="center" wrapText="1"/>
    </xf>
    <xf numFmtId="0" fontId="92" fillId="18" borderId="84" xfId="0" applyFont="1" applyFill="1" applyBorder="1" applyAlignment="1">
      <alignment vertical="top" wrapText="1"/>
    </xf>
    <xf numFmtId="0" fontId="108" fillId="5" borderId="86" xfId="0" applyFont="1" applyFill="1" applyBorder="1" applyAlignment="1">
      <alignment horizontal="center" vertical="center" wrapText="1"/>
    </xf>
    <xf numFmtId="0" fontId="92" fillId="18" borderId="90" xfId="0" applyFont="1" applyFill="1" applyBorder="1" applyAlignment="1">
      <alignment vertical="top" wrapText="1"/>
    </xf>
    <xf numFmtId="0" fontId="92" fillId="18" borderId="91" xfId="0" applyFont="1" applyFill="1" applyBorder="1" applyAlignment="1">
      <alignment vertical="top" wrapText="1"/>
    </xf>
    <xf numFmtId="1" fontId="92" fillId="18" borderId="92" xfId="0" applyNumberFormat="1" applyFont="1" applyFill="1" applyBorder="1" applyAlignment="1">
      <alignment vertical="top" wrapText="1"/>
    </xf>
    <xf numFmtId="0" fontId="108" fillId="5" borderId="93" xfId="0" applyFont="1" applyFill="1" applyBorder="1" applyAlignment="1">
      <alignment horizontal="center" vertical="center" wrapText="1"/>
    </xf>
    <xf numFmtId="1" fontId="92" fillId="5" borderId="85" xfId="0" applyNumberFormat="1" applyFont="1" applyFill="1" applyBorder="1" applyAlignment="1">
      <alignment vertical="top" wrapText="1"/>
    </xf>
    <xf numFmtId="0" fontId="27" fillId="5" borderId="86" xfId="0" applyFont="1" applyFill="1" applyBorder="1" applyAlignment="1">
      <alignment vertical="center" wrapText="1"/>
    </xf>
    <xf numFmtId="0" fontId="92" fillId="18" borderId="86" xfId="0" applyFont="1" applyFill="1" applyBorder="1" applyAlignment="1">
      <alignment vertical="top" wrapText="1"/>
    </xf>
    <xf numFmtId="9" fontId="92" fillId="18" borderId="86" xfId="0" applyNumberFormat="1" applyFont="1" applyFill="1" applyBorder="1" applyAlignment="1">
      <alignment vertical="top" wrapText="1"/>
    </xf>
    <xf numFmtId="0" fontId="27" fillId="5" borderId="93" xfId="0" applyFont="1" applyFill="1" applyBorder="1" applyAlignment="1">
      <alignment vertical="center" wrapText="1"/>
    </xf>
    <xf numFmtId="1" fontId="92" fillId="18" borderId="93" xfId="0" applyNumberFormat="1" applyFont="1" applyFill="1" applyBorder="1" applyAlignment="1">
      <alignment vertical="top" wrapText="1"/>
    </xf>
    <xf numFmtId="0" fontId="92" fillId="6" borderId="86" xfId="0" applyFont="1" applyFill="1" applyBorder="1" applyAlignment="1">
      <alignment vertical="top" wrapText="1"/>
    </xf>
    <xf numFmtId="1" fontId="92" fillId="6" borderId="93" xfId="0" applyNumberFormat="1" applyFont="1" applyFill="1" applyBorder="1" applyAlignment="1">
      <alignment vertical="top" wrapText="1"/>
    </xf>
    <xf numFmtId="0" fontId="27" fillId="8" borderId="87" xfId="0" applyFont="1" applyFill="1" applyBorder="1" applyAlignment="1">
      <alignment vertical="center" wrapText="1"/>
    </xf>
    <xf numFmtId="0" fontId="92" fillId="6" borderId="87" xfId="0" applyFont="1" applyFill="1" applyBorder="1" applyAlignment="1">
      <alignment vertical="top" wrapText="1"/>
    </xf>
    <xf numFmtId="1" fontId="92" fillId="6" borderId="90" xfId="0" applyNumberFormat="1" applyFont="1" applyFill="1" applyBorder="1" applyAlignment="1">
      <alignment vertical="top" wrapText="1"/>
    </xf>
    <xf numFmtId="0" fontId="92" fillId="6" borderId="92" xfId="0" applyFont="1" applyFill="1" applyBorder="1" applyAlignment="1">
      <alignment vertical="top" wrapText="1"/>
    </xf>
    <xf numFmtId="1" fontId="99" fillId="9" borderId="86" xfId="0" applyNumberFormat="1" applyFont="1" applyFill="1" applyBorder="1" applyAlignment="1">
      <alignment vertical="top" wrapText="1"/>
    </xf>
    <xf numFmtId="1" fontId="109" fillId="9" borderId="86" xfId="0" applyNumberFormat="1" applyFont="1" applyFill="1" applyBorder="1" applyAlignment="1">
      <alignment horizontal="center" vertical="center"/>
    </xf>
    <xf numFmtId="1" fontId="33" fillId="9" borderId="86" xfId="1" applyNumberFormat="1" applyFont="1" applyFill="1" applyBorder="1" applyAlignment="1">
      <alignment vertical="center" wrapText="1"/>
    </xf>
    <xf numFmtId="1" fontId="35" fillId="9" borderId="86" xfId="0" applyNumberFormat="1" applyFont="1" applyFill="1" applyBorder="1" applyAlignment="1">
      <alignment horizontal="center" vertical="center" wrapText="1"/>
    </xf>
    <xf numFmtId="1" fontId="92" fillId="9" borderId="86" xfId="0" applyNumberFormat="1" applyFont="1" applyFill="1" applyBorder="1" applyAlignment="1">
      <alignment vertical="top" wrapText="1"/>
    </xf>
    <xf numFmtId="1" fontId="92" fillId="19" borderId="86" xfId="0" applyNumberFormat="1" applyFont="1" applyFill="1" applyBorder="1" applyAlignment="1">
      <alignment vertical="top" wrapText="1"/>
    </xf>
    <xf numFmtId="1" fontId="110" fillId="9" borderId="86" xfId="0" applyNumberFormat="1" applyFont="1" applyFill="1" applyBorder="1" applyAlignment="1">
      <alignment horizontal="center" vertical="center"/>
    </xf>
    <xf numFmtId="9" fontId="99" fillId="9" borderId="93" xfId="1" applyNumberFormat="1" applyFont="1" applyFill="1" applyBorder="1" applyAlignment="1">
      <alignment vertical="top" wrapText="1"/>
    </xf>
    <xf numFmtId="1" fontId="35" fillId="9" borderId="93" xfId="0" applyNumberFormat="1" applyFont="1" applyFill="1" applyBorder="1" applyAlignment="1">
      <alignment horizontal="center" vertical="center" wrapText="1"/>
    </xf>
    <xf numFmtId="1" fontId="92" fillId="19" borderId="93" xfId="0" applyNumberFormat="1" applyFont="1" applyFill="1" applyBorder="1" applyAlignment="1">
      <alignment vertical="top" wrapText="1"/>
    </xf>
    <xf numFmtId="1" fontId="99" fillId="9" borderId="87" xfId="0" applyNumberFormat="1" applyFont="1" applyFill="1" applyBorder="1" applyAlignment="1">
      <alignment vertical="top" wrapText="1"/>
    </xf>
    <xf numFmtId="1" fontId="35" fillId="9" borderId="87" xfId="0" applyNumberFormat="1" applyFont="1" applyFill="1" applyBorder="1" applyAlignment="1">
      <alignment horizontal="center" vertical="center" wrapText="1"/>
    </xf>
    <xf numFmtId="1" fontId="92" fillId="19" borderId="87" xfId="0" applyNumberFormat="1" applyFont="1" applyFill="1" applyBorder="1" applyAlignment="1">
      <alignment vertical="top" wrapText="1"/>
    </xf>
    <xf numFmtId="9" fontId="99" fillId="9" borderId="104" xfId="1" applyNumberFormat="1" applyFont="1" applyFill="1" applyBorder="1" applyAlignment="1">
      <alignment vertical="top" wrapText="1"/>
    </xf>
    <xf numFmtId="1" fontId="35" fillId="9" borderId="104" xfId="0" applyNumberFormat="1" applyFont="1" applyFill="1" applyBorder="1" applyAlignment="1">
      <alignment horizontal="center" vertical="center" wrapText="1"/>
    </xf>
    <xf numFmtId="9" fontId="92" fillId="9" borderId="105" xfId="0" applyNumberFormat="1" applyFont="1" applyFill="1" applyBorder="1" applyAlignment="1">
      <alignment vertical="top" wrapText="1"/>
    </xf>
    <xf numFmtId="1" fontId="92" fillId="5" borderId="86" xfId="0" applyNumberFormat="1" applyFont="1" applyFill="1" applyBorder="1" applyAlignment="1">
      <alignment horizontal="center" vertical="center" wrapText="1"/>
    </xf>
    <xf numFmtId="0" fontId="92" fillId="8" borderId="86" xfId="0" applyFont="1" applyFill="1" applyBorder="1" applyAlignment="1">
      <alignment horizontal="center" vertical="center" wrapText="1"/>
    </xf>
    <xf numFmtId="1" fontId="92" fillId="9" borderId="86" xfId="0" applyNumberFormat="1" applyFont="1" applyFill="1" applyBorder="1" applyAlignment="1">
      <alignment horizontal="center" vertical="center" wrapText="1"/>
    </xf>
    <xf numFmtId="0" fontId="59" fillId="45" borderId="0" xfId="0" applyFont="1" applyFill="1"/>
    <xf numFmtId="0" fontId="0" fillId="45" borderId="0" xfId="0" applyFill="1"/>
    <xf numFmtId="0" fontId="29" fillId="45" borderId="0" xfId="0" applyFont="1" applyFill="1"/>
    <xf numFmtId="167" fontId="111" fillId="0" borderId="0" xfId="0" applyNumberFormat="1" applyFont="1" applyFill="1" applyAlignment="1">
      <alignment horizontal="left" vertical="center" readingOrder="1"/>
    </xf>
    <xf numFmtId="0" fontId="25" fillId="0" borderId="0" xfId="0" applyFont="1" applyFill="1"/>
    <xf numFmtId="1" fontId="25" fillId="0" borderId="0" xfId="0" applyNumberFormat="1" applyFont="1" applyFill="1"/>
    <xf numFmtId="0" fontId="25" fillId="0" borderId="0" xfId="0" applyFont="1" applyFill="1" applyAlignment="1">
      <alignment wrapText="1" readingOrder="1"/>
    </xf>
    <xf numFmtId="165" fontId="25" fillId="0" borderId="0" xfId="0" applyNumberFormat="1" applyFont="1" applyFill="1"/>
    <xf numFmtId="0" fontId="111" fillId="0" borderId="0" xfId="1" applyNumberFormat="1" applyFont="1" applyFill="1" applyAlignment="1">
      <alignment horizontal="left" vertical="center" readingOrder="1"/>
    </xf>
    <xf numFmtId="0" fontId="111" fillId="0" borderId="0" xfId="0" applyFont="1" applyFill="1" applyAlignment="1">
      <alignment horizontal="left" vertical="center" readingOrder="1"/>
    </xf>
    <xf numFmtId="1" fontId="111" fillId="0" borderId="0" xfId="0" applyNumberFormat="1" applyFont="1" applyFill="1" applyAlignment="1">
      <alignment horizontal="left" vertical="center" readingOrder="1"/>
    </xf>
    <xf numFmtId="164" fontId="111" fillId="0" borderId="0" xfId="4" applyNumberFormat="1" applyFont="1" applyFill="1" applyAlignment="1">
      <alignment horizontal="left" vertical="center" readingOrder="1"/>
    </xf>
    <xf numFmtId="1" fontId="111" fillId="0" borderId="0" xfId="1" applyNumberFormat="1" applyFont="1" applyFill="1" applyAlignment="1">
      <alignment horizontal="left" vertical="center" readingOrder="1"/>
    </xf>
    <xf numFmtId="9" fontId="111" fillId="0" borderId="0" xfId="1" applyFont="1" applyFill="1" applyAlignment="1">
      <alignment horizontal="left" vertical="center" readingOrder="1"/>
    </xf>
    <xf numFmtId="9" fontId="111" fillId="0" borderId="0" xfId="1" applyNumberFormat="1" applyFont="1" applyFill="1" applyAlignment="1">
      <alignment horizontal="left" vertical="center" readingOrder="1"/>
    </xf>
    <xf numFmtId="9" fontId="111" fillId="0" borderId="0" xfId="0" applyNumberFormat="1" applyFont="1" applyFill="1" applyAlignment="1">
      <alignment horizontal="left" vertical="center" readingOrder="1"/>
    </xf>
    <xf numFmtId="0" fontId="111" fillId="0" borderId="0" xfId="0" applyNumberFormat="1" applyFont="1" applyFill="1" applyAlignment="1">
      <alignment horizontal="left" vertical="center" readingOrder="1"/>
    </xf>
    <xf numFmtId="168" fontId="111" fillId="0" borderId="0" xfId="0" applyNumberFormat="1" applyFont="1" applyFill="1" applyAlignment="1">
      <alignment horizontal="left" vertical="center" readingOrder="1"/>
    </xf>
    <xf numFmtId="165" fontId="111" fillId="0" borderId="0" xfId="0" applyNumberFormat="1" applyFont="1" applyFill="1" applyAlignment="1">
      <alignment horizontal="left" vertical="center" readingOrder="1"/>
    </xf>
    <xf numFmtId="168" fontId="111" fillId="0" borderId="0" xfId="0" applyNumberFormat="1" applyFont="1" applyFill="1" applyAlignment="1">
      <alignment horizontal="left" vertical="center" wrapText="1" readingOrder="1"/>
    </xf>
    <xf numFmtId="165" fontId="111" fillId="0" borderId="0" xfId="0" applyNumberFormat="1" applyFont="1" applyFill="1" applyAlignment="1">
      <alignment horizontal="left" vertical="center" wrapText="1" readingOrder="1"/>
    </xf>
    <xf numFmtId="1" fontId="25" fillId="0" borderId="0" xfId="0" applyNumberFormat="1" applyFont="1" applyFill="1" applyBorder="1" applyAlignment="1">
      <alignment wrapText="1"/>
    </xf>
    <xf numFmtId="0" fontId="25" fillId="0" borderId="0" xfId="0" applyFont="1" applyFill="1" applyAlignment="1">
      <alignment wrapText="1"/>
    </xf>
    <xf numFmtId="0" fontId="25" fillId="0" borderId="0" xfId="0" applyNumberFormat="1" applyFont="1" applyFill="1" applyAlignment="1">
      <alignment wrapText="1"/>
    </xf>
    <xf numFmtId="0" fontId="0" fillId="0" borderId="0" xfId="0"/>
    <xf numFmtId="14" fontId="17" fillId="3" borderId="2" xfId="0" applyNumberFormat="1" applyFont="1" applyFill="1" applyBorder="1" applyAlignment="1">
      <alignment horizontal="left" vertical="center" readingOrder="1"/>
    </xf>
    <xf numFmtId="0" fontId="41" fillId="0" borderId="0" xfId="9" applyFont="1" applyFill="1" applyBorder="1" applyAlignment="1">
      <alignment horizontal="right"/>
    </xf>
    <xf numFmtId="0" fontId="0" fillId="0" borderId="0" xfId="0" pivotButton="1"/>
    <xf numFmtId="0" fontId="25" fillId="0" borderId="0" xfId="0" applyFont="1" applyFill="1"/>
    <xf numFmtId="0" fontId="25" fillId="0" borderId="0" xfId="0" applyFont="1" applyFill="1" applyBorder="1"/>
    <xf numFmtId="0" fontId="64" fillId="0" borderId="0" xfId="0" applyNumberFormat="1" applyFont="1" applyFill="1"/>
    <xf numFmtId="0" fontId="25" fillId="0" borderId="0" xfId="0" applyNumberFormat="1" applyFont="1" applyFill="1"/>
    <xf numFmtId="1" fontId="25" fillId="0" borderId="0" xfId="0" applyNumberFormat="1" applyFont="1" applyFill="1"/>
    <xf numFmtId="0" fontId="25" fillId="0" borderId="0" xfId="0" applyFont="1" applyFill="1" applyAlignment="1">
      <alignment wrapText="1" readingOrder="1"/>
    </xf>
    <xf numFmtId="0" fontId="25" fillId="0" borderId="17" xfId="0" applyFont="1" applyFill="1" applyBorder="1"/>
    <xf numFmtId="0" fontId="25" fillId="0" borderId="0" xfId="0" applyNumberFormat="1" applyFont="1" applyFill="1" applyBorder="1"/>
    <xf numFmtId="1" fontId="25" fillId="0" borderId="0" xfId="0" applyNumberFormat="1" applyFont="1" applyFill="1" applyBorder="1"/>
    <xf numFmtId="0" fontId="25" fillId="0" borderId="0" xfId="0" applyFont="1" applyFill="1" applyBorder="1" applyAlignment="1">
      <alignment wrapText="1" readingOrder="1"/>
    </xf>
    <xf numFmtId="0" fontId="0" fillId="0" borderId="0" xfId="0" applyFill="1"/>
    <xf numFmtId="0" fontId="25" fillId="0" borderId="0" xfId="0" applyNumberFormat="1" applyFont="1" applyFill="1" applyAlignment="1">
      <alignment wrapText="1" readingOrder="1"/>
    </xf>
    <xf numFmtId="0" fontId="25" fillId="0" borderId="0" xfId="0" applyNumberFormat="1" applyFont="1" applyFill="1" applyBorder="1" applyAlignment="1">
      <alignment wrapText="1" readingOrder="1"/>
    </xf>
    <xf numFmtId="0" fontId="40" fillId="0" borderId="0" xfId="0" applyFont="1" applyFill="1" applyBorder="1" applyAlignment="1">
      <alignment horizontal="left" vertical="center" readingOrder="1"/>
    </xf>
    <xf numFmtId="0" fontId="40" fillId="0" borderId="0" xfId="0" applyNumberFormat="1" applyFont="1" applyFill="1" applyBorder="1" applyAlignment="1">
      <alignment horizontal="left" vertical="center" readingOrder="1"/>
    </xf>
    <xf numFmtId="0" fontId="41" fillId="0" borderId="0" xfId="9" applyFont="1" applyFill="1" applyAlignment="1"/>
    <xf numFmtId="0" fontId="41" fillId="0" borderId="0" xfId="0" applyNumberFormat="1" applyFont="1" applyFill="1" applyBorder="1" applyAlignment="1"/>
    <xf numFmtId="0" fontId="25" fillId="0" borderId="22" xfId="0" applyFont="1" applyFill="1" applyBorder="1"/>
    <xf numFmtId="0" fontId="25" fillId="0" borderId="21" xfId="0" applyFont="1" applyFill="1" applyBorder="1"/>
    <xf numFmtId="0" fontId="25" fillId="0" borderId="21" xfId="0" applyNumberFormat="1" applyFont="1" applyFill="1" applyBorder="1"/>
    <xf numFmtId="1" fontId="25" fillId="0" borderId="21" xfId="0" applyNumberFormat="1" applyFont="1" applyFill="1" applyBorder="1"/>
    <xf numFmtId="0" fontId="25" fillId="0" borderId="29" xfId="0" applyFont="1" applyFill="1" applyBorder="1"/>
    <xf numFmtId="0" fontId="25" fillId="0" borderId="28" xfId="0" applyFont="1" applyFill="1" applyBorder="1"/>
    <xf numFmtId="165" fontId="25" fillId="0" borderId="0" xfId="0" applyNumberFormat="1" applyFont="1" applyFill="1"/>
    <xf numFmtId="165" fontId="25" fillId="0" borderId="0" xfId="0" applyNumberFormat="1" applyFont="1" applyFill="1" applyBorder="1"/>
    <xf numFmtId="0" fontId="25" fillId="0" borderId="54" xfId="0" applyFont="1" applyFill="1" applyBorder="1"/>
    <xf numFmtId="0" fontId="80" fillId="0" borderId="0" xfId="9" applyFont="1" applyFill="1" applyBorder="1" applyAlignment="1"/>
    <xf numFmtId="0" fontId="25" fillId="0" borderId="28" xfId="0" applyNumberFormat="1" applyFont="1" applyFill="1" applyBorder="1"/>
    <xf numFmtId="1" fontId="25" fillId="0" borderId="29" xfId="0" applyNumberFormat="1" applyFont="1" applyFill="1" applyBorder="1"/>
    <xf numFmtId="1" fontId="40" fillId="0" borderId="0" xfId="0" applyNumberFormat="1" applyFont="1" applyFill="1" applyBorder="1" applyAlignment="1">
      <alignment horizontal="left" vertical="center" readingOrder="1"/>
    </xf>
    <xf numFmtId="49" fontId="85" fillId="0" borderId="0" xfId="0" applyNumberFormat="1" applyFont="1" applyFill="1" applyBorder="1" applyAlignment="1">
      <alignment horizontal="left" vertical="center"/>
    </xf>
    <xf numFmtId="0" fontId="80" fillId="0" borderId="0" xfId="9" applyFont="1" applyFill="1" applyBorder="1" applyAlignment="1">
      <alignment horizontal="right"/>
    </xf>
    <xf numFmtId="0" fontId="17" fillId="0" borderId="0" xfId="0" applyFont="1" applyFill="1" applyAlignment="1">
      <alignment horizontal="left" vertical="center" readingOrder="1"/>
    </xf>
    <xf numFmtId="1" fontId="25" fillId="0" borderId="22" xfId="0" applyNumberFormat="1" applyFont="1" applyFill="1" applyBorder="1"/>
    <xf numFmtId="0" fontId="0" fillId="0" borderId="0" xfId="0" applyFill="1" applyBorder="1"/>
    <xf numFmtId="168" fontId="17" fillId="0" borderId="0" xfId="0" applyNumberFormat="1" applyFont="1" applyFill="1" applyAlignment="1">
      <alignment horizontal="left" vertical="center" readingOrder="1"/>
    </xf>
    <xf numFmtId="0" fontId="59" fillId="0" borderId="0" xfId="0" pivotButton="1" applyFont="1"/>
    <xf numFmtId="0" fontId="72" fillId="40" borderId="0" xfId="0" applyFont="1" applyFill="1" applyAlignment="1">
      <alignment wrapText="1"/>
    </xf>
    <xf numFmtId="0" fontId="112" fillId="26" borderId="0" xfId="0" applyFont="1" applyFill="1"/>
    <xf numFmtId="164" fontId="113" fillId="0" borderId="0" xfId="0" applyNumberFormat="1" applyFont="1" applyFill="1"/>
    <xf numFmtId="164" fontId="59" fillId="0" borderId="0" xfId="0" applyNumberFormat="1" applyFont="1" applyFill="1"/>
    <xf numFmtId="0" fontId="72" fillId="29" borderId="43" xfId="0" applyFont="1" applyFill="1" applyBorder="1"/>
    <xf numFmtId="1" fontId="92" fillId="19" borderId="0" xfId="0" applyNumberFormat="1" applyFont="1" applyFill="1" applyBorder="1" applyAlignment="1">
      <alignment vertical="top" wrapText="1"/>
    </xf>
    <xf numFmtId="0" fontId="9" fillId="0" borderId="0" xfId="0" pivotButton="1" applyFont="1"/>
    <xf numFmtId="0" fontId="9" fillId="0" borderId="0" xfId="0" pivotButton="1" applyFont="1" applyAlignment="1">
      <alignment wrapText="1"/>
    </xf>
    <xf numFmtId="0" fontId="114" fillId="40" borderId="0" xfId="0" applyFont="1" applyFill="1" applyAlignment="1"/>
    <xf numFmtId="0" fontId="76" fillId="0" borderId="0" xfId="0" applyFont="1"/>
    <xf numFmtId="0" fontId="27" fillId="8" borderId="86" xfId="0" applyFont="1" applyFill="1" applyBorder="1" applyAlignment="1">
      <alignment horizontal="center" vertical="center" wrapText="1"/>
    </xf>
    <xf numFmtId="164" fontId="75" fillId="0" borderId="53" xfId="4" applyNumberFormat="1" applyFont="1" applyBorder="1"/>
    <xf numFmtId="0" fontId="25" fillId="0" borderId="29" xfId="0" applyFont="1" applyFill="1" applyBorder="1" applyAlignment="1">
      <alignment wrapText="1"/>
    </xf>
    <xf numFmtId="0" fontId="115" fillId="39" borderId="57" xfId="0" applyFont="1" applyFill="1" applyBorder="1"/>
    <xf numFmtId="0" fontId="85" fillId="0" borderId="0" xfId="0" applyFont="1" applyFill="1" applyAlignment="1">
      <alignment vertical="center"/>
    </xf>
    <xf numFmtId="0" fontId="25" fillId="9" borderId="0" xfId="0" applyFont="1" applyFill="1"/>
    <xf numFmtId="0" fontId="64" fillId="0" borderId="0" xfId="0" applyFont="1" applyFill="1"/>
    <xf numFmtId="0" fontId="64" fillId="0" borderId="0" xfId="0" applyNumberFormat="1" applyFont="1" applyFill="1" applyBorder="1"/>
    <xf numFmtId="0" fontId="64" fillId="0" borderId="0" xfId="0" applyFont="1" applyFill="1" applyBorder="1"/>
    <xf numFmtId="1" fontId="79" fillId="0" borderId="0" xfId="0" applyNumberFormat="1" applyFont="1" applyFill="1" applyBorder="1"/>
    <xf numFmtId="0" fontId="79" fillId="0" borderId="0" xfId="0" applyNumberFormat="1" applyFont="1" applyFill="1" applyBorder="1" applyAlignment="1">
      <alignment wrapText="1" readingOrder="1"/>
    </xf>
    <xf numFmtId="0" fontId="73" fillId="0" borderId="0" xfId="0" applyFont="1" applyAlignment="1">
      <alignment wrapText="1"/>
    </xf>
    <xf numFmtId="0" fontId="9" fillId="0" borderId="0" xfId="0" applyFont="1" applyAlignment="1">
      <alignment horizontal="center" vertical="center" wrapText="1"/>
    </xf>
    <xf numFmtId="0" fontId="73" fillId="0" borderId="0" xfId="0" applyFont="1" applyAlignment="1">
      <alignment horizontal="center" vertical="center" wrapText="1"/>
    </xf>
    <xf numFmtId="1" fontId="116" fillId="0" borderId="0" xfId="0" applyNumberFormat="1" applyFont="1" applyFill="1"/>
    <xf numFmtId="0" fontId="116" fillId="0" borderId="28" xfId="0" applyNumberFormat="1" applyFont="1" applyFill="1" applyBorder="1"/>
    <xf numFmtId="0" fontId="116" fillId="0" borderId="0" xfId="0" applyFont="1" applyFill="1"/>
    <xf numFmtId="0" fontId="116" fillId="0" borderId="0" xfId="0" applyNumberFormat="1" applyFont="1" applyFill="1" applyAlignment="1">
      <alignment wrapText="1" readingOrder="1"/>
    </xf>
    <xf numFmtId="165" fontId="116" fillId="0" borderId="0" xfId="0" applyNumberFormat="1" applyFont="1" applyFill="1"/>
    <xf numFmtId="165" fontId="116" fillId="0" borderId="0" xfId="0" applyNumberFormat="1" applyFont="1" applyFill="1" applyAlignment="1">
      <alignment wrapText="1" readingOrder="1"/>
    </xf>
    <xf numFmtId="0" fontId="116" fillId="0" borderId="0" xfId="0" applyFont="1" applyFill="1" applyAlignment="1">
      <alignment wrapText="1" readingOrder="1"/>
    </xf>
    <xf numFmtId="14" fontId="17" fillId="3" borderId="0" xfId="0" applyNumberFormat="1" applyFont="1" applyFill="1" applyBorder="1" applyAlignment="1">
      <alignment horizontal="left" vertical="center" readingOrder="1"/>
    </xf>
    <xf numFmtId="0" fontId="116" fillId="0" borderId="0" xfId="0" applyNumberFormat="1" applyFont="1" applyFill="1" applyBorder="1"/>
    <xf numFmtId="0" fontId="116" fillId="0" borderId="21" xfId="0" applyNumberFormat="1" applyFont="1" applyFill="1" applyBorder="1"/>
    <xf numFmtId="1" fontId="116" fillId="0" borderId="29" xfId="0" applyNumberFormat="1" applyFont="1" applyFill="1" applyBorder="1"/>
    <xf numFmtId="1" fontId="25" fillId="0" borderId="28" xfId="0" applyNumberFormat="1" applyFont="1" applyFill="1" applyBorder="1"/>
    <xf numFmtId="1" fontId="116" fillId="0" borderId="0" xfId="0" applyNumberFormat="1" applyFont="1" applyFill="1" applyBorder="1"/>
    <xf numFmtId="1" fontId="116" fillId="0" borderId="22" xfId="0" applyNumberFormat="1" applyFont="1" applyFill="1" applyBorder="1"/>
    <xf numFmtId="0" fontId="116" fillId="0" borderId="0" xfId="0" applyFont="1" applyFill="1" applyBorder="1"/>
    <xf numFmtId="0" fontId="116" fillId="0" borderId="0" xfId="0" applyNumberFormat="1" applyFont="1" applyFill="1" applyBorder="1" applyAlignment="1">
      <alignment wrapText="1" readingOrder="1"/>
    </xf>
    <xf numFmtId="0" fontId="74" fillId="0" borderId="61" xfId="0" applyFont="1" applyBorder="1"/>
    <xf numFmtId="0" fontId="74" fillId="0" borderId="43" xfId="0" applyFont="1" applyBorder="1"/>
    <xf numFmtId="0" fontId="77" fillId="0" borderId="0" xfId="0" pivotButton="1" applyFont="1"/>
    <xf numFmtId="0" fontId="22" fillId="31" borderId="43" xfId="0" applyFont="1" applyFill="1" applyBorder="1"/>
    <xf numFmtId="0" fontId="22" fillId="31" borderId="106" xfId="0" applyFont="1" applyFill="1" applyBorder="1"/>
    <xf numFmtId="0" fontId="22" fillId="0" borderId="43" xfId="0" applyFont="1" applyBorder="1"/>
    <xf numFmtId="0" fontId="22" fillId="0" borderId="61" xfId="0" applyFont="1" applyBorder="1"/>
    <xf numFmtId="0" fontId="72" fillId="29" borderId="106" xfId="0" applyFont="1" applyFill="1" applyBorder="1"/>
    <xf numFmtId="1" fontId="35" fillId="9" borderId="0" xfId="0" applyNumberFormat="1" applyFont="1" applyFill="1" applyBorder="1" applyAlignment="1">
      <alignment horizontal="center" vertical="center" wrapText="1"/>
    </xf>
    <xf numFmtId="0" fontId="7" fillId="0" borderId="0" xfId="0" applyFont="1"/>
    <xf numFmtId="166" fontId="6" fillId="20" borderId="0" xfId="8" applyFont="1" applyFill="1" applyBorder="1"/>
    <xf numFmtId="0" fontId="71" fillId="0" borderId="0" xfId="0" applyFont="1" applyFill="1" applyAlignment="1">
      <alignment vertical="center"/>
    </xf>
    <xf numFmtId="0" fontId="117" fillId="0" borderId="0" xfId="0" applyFont="1" applyAlignment="1">
      <alignment horizontal="left"/>
    </xf>
    <xf numFmtId="9" fontId="117" fillId="0" borderId="0" xfId="0" applyNumberFormat="1" applyFont="1"/>
    <xf numFmtId="164" fontId="24" fillId="0" borderId="0" xfId="4" applyNumberFormat="1" applyFont="1" applyFill="1" applyAlignment="1">
      <alignment horizontal="left" vertical="center" readingOrder="1"/>
    </xf>
    <xf numFmtId="0" fontId="5" fillId="0" borderId="0" xfId="0" applyFont="1"/>
    <xf numFmtId="0" fontId="5" fillId="0" borderId="0" xfId="0" applyNumberFormat="1" applyFont="1"/>
    <xf numFmtId="164" fontId="5" fillId="0" borderId="0" xfId="0" applyNumberFormat="1" applyFont="1"/>
    <xf numFmtId="9" fontId="5" fillId="0" borderId="0" xfId="0" applyNumberFormat="1" applyFont="1"/>
    <xf numFmtId="0" fontId="88" fillId="0" borderId="21" xfId="0" applyNumberFormat="1" applyFont="1" applyFill="1" applyBorder="1"/>
    <xf numFmtId="1" fontId="116" fillId="0" borderId="54" xfId="0" applyNumberFormat="1" applyFont="1" applyFill="1" applyBorder="1"/>
    <xf numFmtId="1" fontId="88" fillId="0" borderId="22" xfId="0" applyNumberFormat="1" applyFont="1" applyFill="1" applyBorder="1"/>
    <xf numFmtId="0" fontId="80" fillId="0" borderId="17" xfId="9" applyFont="1" applyFill="1" applyBorder="1" applyAlignment="1"/>
    <xf numFmtId="0" fontId="22" fillId="0" borderId="44" xfId="0" applyFont="1" applyBorder="1" applyAlignment="1">
      <alignment wrapText="1"/>
    </xf>
    <xf numFmtId="0" fontId="22" fillId="0" borderId="44" xfId="0" applyFont="1" applyBorder="1"/>
    <xf numFmtId="0" fontId="22" fillId="0" borderId="45" xfId="0" applyFont="1" applyBorder="1"/>
    <xf numFmtId="0" fontId="74" fillId="0" borderId="47" xfId="0" applyNumberFormat="1" applyFont="1" applyBorder="1"/>
    <xf numFmtId="0" fontId="4" fillId="14" borderId="0" xfId="0" applyFont="1" applyFill="1" applyAlignment="1">
      <alignment horizontal="left"/>
    </xf>
    <xf numFmtId="164" fontId="4" fillId="14" borderId="0" xfId="0" applyNumberFormat="1" applyFont="1" applyFill="1"/>
    <xf numFmtId="9" fontId="4" fillId="14" borderId="0" xfId="0" applyNumberFormat="1" applyFont="1" applyFill="1"/>
    <xf numFmtId="0" fontId="71" fillId="0" borderId="0" xfId="0" applyFont="1" applyFill="1"/>
    <xf numFmtId="0" fontId="72" fillId="0" borderId="0" xfId="0" applyFont="1" applyFill="1"/>
    <xf numFmtId="0" fontId="4" fillId="0" borderId="0" xfId="0" applyFont="1" applyFill="1" applyAlignment="1">
      <alignment horizontal="left"/>
    </xf>
    <xf numFmtId="164" fontId="4" fillId="0" borderId="0" xfId="0" applyNumberFormat="1" applyFont="1" applyFill="1"/>
    <xf numFmtId="9" fontId="4" fillId="0" borderId="0" xfId="0" applyNumberFormat="1" applyFont="1" applyFill="1"/>
    <xf numFmtId="0" fontId="0" fillId="0" borderId="0" xfId="0" applyNumberFormat="1"/>
    <xf numFmtId="0" fontId="0" fillId="0" borderId="0" xfId="0" applyAlignment="1">
      <alignment horizontal="left"/>
    </xf>
    <xf numFmtId="0" fontId="0" fillId="0" borderId="0" xfId="0"/>
    <xf numFmtId="14" fontId="17" fillId="3" borderId="2" xfId="0" applyNumberFormat="1" applyFont="1" applyFill="1" applyBorder="1" applyAlignment="1">
      <alignment horizontal="left" vertical="center" readingOrder="1"/>
    </xf>
    <xf numFmtId="0" fontId="17" fillId="0" borderId="0" xfId="0" applyFont="1" applyFill="1" applyBorder="1" applyAlignment="1">
      <alignment horizontal="left" vertical="center" readingOrder="1"/>
    </xf>
    <xf numFmtId="9" fontId="17" fillId="0" borderId="0" xfId="0" applyNumberFormat="1" applyFont="1" applyFill="1" applyAlignment="1">
      <alignment horizontal="left" vertical="center" readingOrder="1"/>
    </xf>
    <xf numFmtId="9" fontId="17" fillId="0" borderId="0" xfId="1" applyFont="1" applyFill="1" applyAlignment="1">
      <alignment horizontal="left" vertical="center" readingOrder="1"/>
    </xf>
    <xf numFmtId="1" fontId="17" fillId="0" borderId="0" xfId="1" applyNumberFormat="1" applyFont="1" applyFill="1" applyAlignment="1">
      <alignment horizontal="left" vertical="center" readingOrder="1"/>
    </xf>
    <xf numFmtId="9" fontId="17" fillId="0" borderId="0" xfId="1" applyNumberFormat="1" applyFont="1" applyFill="1" applyAlignment="1">
      <alignment horizontal="left" vertical="center" readingOrder="1"/>
    </xf>
    <xf numFmtId="0" fontId="17" fillId="0" borderId="0" xfId="1" applyNumberFormat="1" applyFont="1" applyFill="1" applyAlignment="1">
      <alignment horizontal="left" vertical="center" readingOrder="1"/>
    </xf>
    <xf numFmtId="0" fontId="0" fillId="0" borderId="0" xfId="0" pivotButton="1"/>
    <xf numFmtId="0" fontId="25" fillId="0" borderId="0" xfId="0" applyFont="1" applyFill="1"/>
    <xf numFmtId="165" fontId="17" fillId="0" borderId="0" xfId="0" applyNumberFormat="1" applyFont="1" applyFill="1" applyBorder="1" applyAlignment="1">
      <alignment horizontal="left" vertical="center" readingOrder="1"/>
    </xf>
    <xf numFmtId="9" fontId="17" fillId="0" borderId="0" xfId="0" applyNumberFormat="1" applyFont="1" applyFill="1" applyBorder="1" applyAlignment="1">
      <alignment horizontal="left" vertical="center" readingOrder="1"/>
    </xf>
    <xf numFmtId="1" fontId="17" fillId="0" borderId="0" xfId="0" applyNumberFormat="1" applyFont="1" applyFill="1" applyAlignment="1">
      <alignment horizontal="left" vertical="center" readingOrder="1"/>
    </xf>
    <xf numFmtId="0" fontId="25" fillId="0" borderId="0" xfId="0" applyFont="1" applyFill="1" applyBorder="1"/>
    <xf numFmtId="0" fontId="64" fillId="0" borderId="0" xfId="0" applyNumberFormat="1" applyFont="1" applyFill="1"/>
    <xf numFmtId="0" fontId="25" fillId="0" borderId="0" xfId="0" applyNumberFormat="1" applyFont="1" applyFill="1"/>
    <xf numFmtId="1" fontId="25" fillId="0" borderId="0" xfId="0" applyNumberFormat="1" applyFont="1" applyFill="1"/>
    <xf numFmtId="0" fontId="25" fillId="0" borderId="0" xfId="0" applyFont="1" applyFill="1" applyAlignment="1">
      <alignment wrapText="1" readingOrder="1"/>
    </xf>
    <xf numFmtId="0" fontId="25" fillId="0" borderId="17" xfId="0" applyFont="1" applyFill="1" applyBorder="1"/>
    <xf numFmtId="0" fontId="25" fillId="0" borderId="0" xfId="0" applyNumberFormat="1" applyFont="1" applyFill="1" applyBorder="1"/>
    <xf numFmtId="1" fontId="25" fillId="0" borderId="0" xfId="0" applyNumberFormat="1" applyFont="1" applyFill="1" applyBorder="1"/>
    <xf numFmtId="0" fontId="25" fillId="0" borderId="0" xfId="0" applyFont="1" applyFill="1" applyBorder="1" applyAlignment="1">
      <alignment wrapText="1" readingOrder="1"/>
    </xf>
    <xf numFmtId="0" fontId="0" fillId="0" borderId="0" xfId="0" applyFill="1"/>
    <xf numFmtId="0" fontId="25" fillId="0" borderId="0" xfId="0" applyNumberFormat="1" applyFont="1" applyFill="1" applyAlignment="1">
      <alignment wrapText="1" readingOrder="1"/>
    </xf>
    <xf numFmtId="0" fontId="25" fillId="0" borderId="0" xfId="0" applyNumberFormat="1" applyFont="1" applyFill="1" applyBorder="1" applyAlignment="1">
      <alignment wrapText="1" readingOrder="1"/>
    </xf>
    <xf numFmtId="0" fontId="40" fillId="0" borderId="0" xfId="0" applyFont="1" applyFill="1" applyBorder="1" applyAlignment="1">
      <alignment horizontal="left" vertical="center" readingOrder="1"/>
    </xf>
    <xf numFmtId="0" fontId="40" fillId="0" borderId="0" xfId="0" applyNumberFormat="1" applyFont="1" applyFill="1" applyBorder="1" applyAlignment="1">
      <alignment horizontal="left" vertical="center" readingOrder="1"/>
    </xf>
    <xf numFmtId="0" fontId="41" fillId="0" borderId="0" xfId="9" applyFont="1" applyFill="1" applyAlignment="1"/>
    <xf numFmtId="0" fontId="25" fillId="0" borderId="22" xfId="0" applyFont="1" applyFill="1" applyBorder="1"/>
    <xf numFmtId="0" fontId="25" fillId="0" borderId="21" xfId="0" applyFont="1" applyFill="1" applyBorder="1"/>
    <xf numFmtId="0" fontId="25" fillId="0" borderId="21" xfId="0" applyNumberFormat="1" applyFont="1" applyFill="1" applyBorder="1"/>
    <xf numFmtId="1" fontId="25" fillId="0" borderId="21" xfId="0" applyNumberFormat="1" applyFont="1" applyFill="1" applyBorder="1"/>
    <xf numFmtId="0" fontId="25" fillId="0" borderId="29" xfId="0" applyFont="1" applyFill="1" applyBorder="1"/>
    <xf numFmtId="0" fontId="25" fillId="0" borderId="28" xfId="0" applyFont="1" applyFill="1" applyBorder="1"/>
    <xf numFmtId="0" fontId="17" fillId="0" borderId="0" xfId="0" applyNumberFormat="1" applyFont="1" applyFill="1" applyAlignment="1">
      <alignment horizontal="left" vertical="center" readingOrder="1"/>
    </xf>
    <xf numFmtId="165" fontId="25" fillId="0" borderId="0" xfId="0" applyNumberFormat="1" applyFont="1" applyFill="1"/>
    <xf numFmtId="165" fontId="25" fillId="0" borderId="0" xfId="0" applyNumberFormat="1" applyFont="1" applyFill="1" applyBorder="1"/>
    <xf numFmtId="165" fontId="40" fillId="0" borderId="0" xfId="0" applyNumberFormat="1" applyFont="1" applyFill="1" applyBorder="1" applyAlignment="1">
      <alignment horizontal="left" vertical="center" wrapText="1" readingOrder="1"/>
    </xf>
    <xf numFmtId="0" fontId="25" fillId="0" borderId="54" xfId="0" applyFont="1" applyFill="1" applyBorder="1"/>
    <xf numFmtId="0" fontId="80" fillId="0" borderId="0" xfId="9" applyFont="1" applyAlignment="1"/>
    <xf numFmtId="0" fontId="40" fillId="0" borderId="28" xfId="0" applyFont="1" applyFill="1" applyBorder="1" applyAlignment="1">
      <alignment horizontal="left" vertical="center" readingOrder="1"/>
    </xf>
    <xf numFmtId="0" fontId="80" fillId="0" borderId="0" xfId="9" applyFont="1" applyFill="1" applyBorder="1" applyAlignment="1"/>
    <xf numFmtId="0" fontId="25" fillId="0" borderId="0" xfId="0" applyFont="1" applyBorder="1"/>
    <xf numFmtId="0" fontId="17" fillId="0" borderId="0" xfId="1" applyNumberFormat="1" applyFont="1" applyFill="1" applyBorder="1" applyAlignment="1">
      <alignment horizontal="left" vertical="center" readingOrder="1"/>
    </xf>
    <xf numFmtId="0" fontId="25" fillId="0" borderId="28" xfId="0" applyNumberFormat="1" applyFont="1" applyFill="1" applyBorder="1"/>
    <xf numFmtId="1" fontId="25" fillId="0" borderId="29" xfId="0" applyNumberFormat="1" applyFont="1" applyFill="1" applyBorder="1"/>
    <xf numFmtId="0" fontId="40" fillId="0" borderId="29" xfId="0" applyFont="1" applyFill="1" applyBorder="1" applyAlignment="1">
      <alignment horizontal="left" vertical="center" readingOrder="1"/>
    </xf>
    <xf numFmtId="49" fontId="85" fillId="0" borderId="0" xfId="0" applyNumberFormat="1" applyFont="1" applyFill="1" applyBorder="1" applyAlignment="1">
      <alignment horizontal="left" vertical="center"/>
    </xf>
    <xf numFmtId="0" fontId="85" fillId="0" borderId="0" xfId="0" applyFont="1" applyFill="1" applyBorder="1" applyAlignment="1">
      <alignment horizontal="left" vertical="center"/>
    </xf>
    <xf numFmtId="49" fontId="85" fillId="0" borderId="0" xfId="21" applyNumberFormat="1" applyFont="1" applyFill="1" applyBorder="1" applyAlignment="1">
      <alignment horizontal="left" vertical="center"/>
    </xf>
    <xf numFmtId="0" fontId="25" fillId="0" borderId="28" xfId="0" applyFont="1" applyFill="1" applyBorder="1" applyAlignment="1"/>
    <xf numFmtId="0" fontId="25" fillId="0" borderId="0" xfId="0" applyFont="1" applyFill="1" applyAlignment="1"/>
    <xf numFmtId="165" fontId="25" fillId="0" borderId="0" xfId="0" applyNumberFormat="1" applyFont="1" applyFill="1" applyAlignment="1"/>
    <xf numFmtId="0" fontId="25" fillId="0" borderId="0" xfId="0" applyFont="1" applyFill="1" applyAlignment="1">
      <alignment readingOrder="1"/>
    </xf>
    <xf numFmtId="49" fontId="64" fillId="42" borderId="29" xfId="0" applyNumberFormat="1" applyFont="1" applyFill="1" applyBorder="1" applyAlignment="1">
      <alignment horizontal="left" vertical="center"/>
    </xf>
    <xf numFmtId="0" fontId="85" fillId="42" borderId="29" xfId="0" applyFont="1" applyFill="1" applyBorder="1" applyAlignment="1">
      <alignment horizontal="left" vertical="center"/>
    </xf>
    <xf numFmtId="1" fontId="25" fillId="0" borderId="54" xfId="0" applyNumberFormat="1" applyFont="1" applyFill="1" applyBorder="1"/>
    <xf numFmtId="0" fontId="80" fillId="0" borderId="0" xfId="9" applyFont="1" applyFill="1" applyBorder="1" applyAlignment="1">
      <alignment horizontal="right"/>
    </xf>
    <xf numFmtId="164" fontId="17" fillId="0" borderId="0" xfId="4" applyNumberFormat="1" applyFont="1" applyFill="1" applyBorder="1" applyAlignment="1">
      <alignment horizontal="left" vertical="center" readingOrder="1"/>
    </xf>
    <xf numFmtId="164" fontId="17" fillId="0" borderId="0" xfId="4" applyNumberFormat="1" applyFont="1" applyFill="1" applyAlignment="1">
      <alignment horizontal="left" vertical="center" readingOrder="1"/>
    </xf>
    <xf numFmtId="167" fontId="17" fillId="0" borderId="0" xfId="0" applyNumberFormat="1" applyFont="1" applyFill="1" applyAlignment="1">
      <alignment horizontal="left" vertical="center" readingOrder="1"/>
    </xf>
    <xf numFmtId="0" fontId="79" fillId="0" borderId="17" xfId="0" applyFont="1" applyFill="1" applyBorder="1"/>
    <xf numFmtId="165" fontId="25" fillId="0" borderId="0" xfId="0" applyNumberFormat="1" applyFont="1" applyFill="1" applyAlignment="1">
      <alignment wrapText="1" readingOrder="1"/>
    </xf>
    <xf numFmtId="0" fontId="22" fillId="0" borderId="42" xfId="0" applyFont="1" applyBorder="1" applyAlignment="1">
      <alignment wrapText="1"/>
    </xf>
    <xf numFmtId="1" fontId="9" fillId="0" borderId="0" xfId="1" applyNumberFormat="1" applyFont="1"/>
    <xf numFmtId="0" fontId="27" fillId="8" borderId="86" xfId="0" applyFont="1" applyFill="1" applyBorder="1" applyAlignment="1">
      <alignment horizontal="center" vertical="center" wrapText="1"/>
    </xf>
    <xf numFmtId="1" fontId="118" fillId="0" borderId="0" xfId="0" applyNumberFormat="1" applyFont="1" applyFill="1"/>
    <xf numFmtId="0" fontId="118" fillId="0" borderId="28" xfId="0" applyNumberFormat="1" applyFont="1" applyFill="1" applyBorder="1"/>
    <xf numFmtId="1" fontId="118" fillId="0" borderId="28" xfId="0" applyNumberFormat="1" applyFont="1" applyFill="1" applyBorder="1"/>
    <xf numFmtId="0" fontId="118" fillId="0" borderId="0" xfId="0" applyFont="1" applyFill="1"/>
    <xf numFmtId="0" fontId="118" fillId="0" borderId="0" xfId="0" applyNumberFormat="1" applyFont="1" applyFill="1" applyAlignment="1">
      <alignment wrapText="1" readingOrder="1"/>
    </xf>
    <xf numFmtId="165" fontId="118" fillId="0" borderId="0" xfId="0" applyNumberFormat="1" applyFont="1" applyFill="1"/>
    <xf numFmtId="0" fontId="24" fillId="18" borderId="76" xfId="19" applyFont="1" applyFill="1" applyBorder="1" applyAlignment="1">
      <alignment horizontal="left" vertical="center" wrapText="1"/>
    </xf>
    <xf numFmtId="0" fontId="24" fillId="11" borderId="76" xfId="19" applyFont="1" applyFill="1" applyBorder="1" applyAlignment="1">
      <alignment horizontal="left" vertical="center" wrapText="1"/>
    </xf>
    <xf numFmtId="1" fontId="119" fillId="7" borderId="76" xfId="19" applyNumberFormat="1" applyFont="1" applyFill="1" applyBorder="1" applyAlignment="1">
      <alignment horizontal="left" vertical="center" wrapText="1" readingOrder="1"/>
    </xf>
    <xf numFmtId="9" fontId="24" fillId="46" borderId="79" xfId="19" applyNumberFormat="1" applyFont="1" applyFill="1" applyBorder="1" applyAlignment="1">
      <alignment horizontal="left" vertical="center" wrapText="1" readingOrder="1"/>
    </xf>
    <xf numFmtId="9" fontId="24" fillId="34" borderId="79" xfId="19" applyNumberFormat="1" applyFont="1" applyFill="1" applyBorder="1" applyAlignment="1">
      <alignment horizontal="left" vertical="center" wrapText="1" readingOrder="1"/>
    </xf>
    <xf numFmtId="0" fontId="26" fillId="16" borderId="76" xfId="22" applyNumberFormat="1" applyFont="1" applyFill="1" applyBorder="1" applyAlignment="1">
      <alignment horizontal="left" vertical="center" indent="1" readingOrder="1"/>
    </xf>
    <xf numFmtId="0" fontId="26" fillId="49" borderId="0" xfId="22" applyNumberFormat="1" applyFont="1" applyFill="1" applyBorder="1" applyAlignment="1">
      <alignment horizontal="left" vertical="center" indent="1" readingOrder="1"/>
    </xf>
    <xf numFmtId="0" fontId="26" fillId="45" borderId="0" xfId="22" applyNumberFormat="1" applyFont="1" applyFill="1" applyBorder="1" applyAlignment="1">
      <alignment horizontal="left" vertical="center" indent="1" readingOrder="1"/>
    </xf>
    <xf numFmtId="9" fontId="24" fillId="27" borderId="0" xfId="19" applyNumberFormat="1" applyFont="1" applyFill="1" applyBorder="1" applyAlignment="1">
      <alignment horizontal="left" vertical="center" wrapText="1" readingOrder="1"/>
    </xf>
    <xf numFmtId="0" fontId="24" fillId="47" borderId="0" xfId="19" applyFont="1" applyFill="1" applyBorder="1" applyAlignment="1">
      <alignment horizontal="left" vertical="center" wrapText="1"/>
    </xf>
    <xf numFmtId="0" fontId="24" fillId="48" borderId="0" xfId="19" applyFont="1" applyFill="1" applyBorder="1" applyAlignment="1">
      <alignment horizontal="left" vertical="center" wrapText="1"/>
    </xf>
    <xf numFmtId="0" fontId="24" fillId="48" borderId="0" xfId="19" applyFont="1" applyFill="1" applyAlignment="1">
      <alignment horizontal="left" vertical="center"/>
    </xf>
    <xf numFmtId="9" fontId="24" fillId="50" borderId="79" xfId="19" applyNumberFormat="1" applyFont="1" applyFill="1" applyBorder="1" applyAlignment="1">
      <alignment horizontal="left" vertical="center" wrapText="1" readingOrder="1"/>
    </xf>
    <xf numFmtId="0" fontId="120" fillId="0" borderId="0" xfId="22" applyFont="1" applyAlignment="1">
      <alignment horizontal="left" vertical="center"/>
    </xf>
    <xf numFmtId="0" fontId="120" fillId="43" borderId="76" xfId="22" applyFont="1" applyFill="1" applyBorder="1" applyAlignment="1">
      <alignment horizontal="left" vertical="center"/>
    </xf>
    <xf numFmtId="0" fontId="120" fillId="43" borderId="77" xfId="22" applyFont="1" applyFill="1" applyBorder="1" applyAlignment="1">
      <alignment horizontal="left" vertical="center"/>
    </xf>
    <xf numFmtId="0" fontId="120" fillId="43" borderId="79" xfId="22" applyFont="1" applyFill="1" applyBorder="1" applyAlignment="1">
      <alignment horizontal="left" vertical="center"/>
    </xf>
    <xf numFmtId="9" fontId="120" fillId="37" borderId="0" xfId="19" applyNumberFormat="1" applyFont="1" applyFill="1" applyBorder="1" applyAlignment="1">
      <alignment horizontal="center" vertical="center" wrapText="1" readingOrder="1"/>
    </xf>
    <xf numFmtId="0" fontId="108" fillId="38" borderId="76" xfId="22" applyNumberFormat="1" applyFont="1" applyFill="1" applyBorder="1" applyAlignment="1">
      <alignment horizontal="center" vertical="center" readingOrder="1"/>
    </xf>
    <xf numFmtId="0" fontId="108" fillId="9" borderId="76" xfId="22" applyNumberFormat="1" applyFont="1" applyFill="1" applyBorder="1" applyAlignment="1">
      <alignment horizontal="center" vertical="center" readingOrder="1"/>
    </xf>
    <xf numFmtId="0" fontId="108" fillId="16" borderId="76" xfId="22" applyNumberFormat="1" applyFont="1" applyFill="1" applyBorder="1" applyAlignment="1">
      <alignment horizontal="center" vertical="center" readingOrder="1"/>
    </xf>
    <xf numFmtId="0" fontId="108" fillId="45" borderId="0" xfId="22" applyNumberFormat="1" applyFont="1" applyFill="1" applyBorder="1" applyAlignment="1">
      <alignment horizontal="center" vertical="center" readingOrder="1"/>
    </xf>
    <xf numFmtId="0" fontId="108" fillId="49" borderId="0" xfId="22" applyNumberFormat="1" applyFont="1" applyFill="1" applyBorder="1" applyAlignment="1">
      <alignment horizontal="center" vertical="center" readingOrder="1"/>
    </xf>
    <xf numFmtId="0" fontId="108" fillId="14" borderId="76" xfId="22" applyNumberFormat="1" applyFont="1" applyFill="1" applyBorder="1" applyAlignment="1">
      <alignment horizontal="center" vertical="center" readingOrder="1"/>
    </xf>
    <xf numFmtId="1" fontId="33" fillId="9" borderId="86" xfId="1" applyNumberFormat="1" applyFont="1" applyFill="1" applyBorder="1" applyAlignment="1">
      <alignment horizontal="center" vertical="center"/>
    </xf>
    <xf numFmtId="1" fontId="27" fillId="9" borderId="86" xfId="0" applyNumberFormat="1" applyFont="1" applyFill="1" applyBorder="1" applyAlignment="1">
      <alignment horizontal="center" vertical="center" wrapText="1"/>
    </xf>
    <xf numFmtId="9" fontId="27" fillId="9" borderId="93" xfId="1" applyFont="1" applyFill="1" applyBorder="1" applyAlignment="1">
      <alignment horizontal="center" vertical="center" wrapText="1"/>
    </xf>
    <xf numFmtId="9" fontId="27" fillId="9" borderId="104" xfId="1" applyFont="1" applyFill="1" applyBorder="1" applyAlignment="1">
      <alignment horizontal="center" vertical="center" wrapText="1"/>
    </xf>
    <xf numFmtId="1" fontId="27" fillId="9" borderId="87" xfId="0" applyNumberFormat="1" applyFont="1" applyFill="1" applyBorder="1" applyAlignment="1">
      <alignment horizontal="center" vertical="center" wrapText="1"/>
    </xf>
    <xf numFmtId="0" fontId="26" fillId="22" borderId="13" xfId="0" applyNumberFormat="1" applyFont="1" applyFill="1" applyBorder="1" applyAlignment="1">
      <alignment horizontal="center" vertical="center" readingOrder="1"/>
    </xf>
    <xf numFmtId="0" fontId="26" fillId="22" borderId="2" xfId="0" applyNumberFormat="1" applyFont="1" applyFill="1" applyBorder="1" applyAlignment="1">
      <alignment horizontal="center" vertical="center" readingOrder="1"/>
    </xf>
    <xf numFmtId="0" fontId="28" fillId="0" borderId="0" xfId="0" applyFont="1" applyAlignment="1">
      <alignment horizontal="center"/>
    </xf>
    <xf numFmtId="49" fontId="111" fillId="0" borderId="0" xfId="4" applyNumberFormat="1" applyFont="1" applyFill="1" applyAlignment="1">
      <alignment horizontal="left" vertical="center" readingOrder="1"/>
    </xf>
    <xf numFmtId="49" fontId="17" fillId="0" borderId="0" xfId="4" applyNumberFormat="1" applyFont="1" applyFill="1" applyAlignment="1">
      <alignment horizontal="left" vertical="center" readingOrder="1"/>
    </xf>
    <xf numFmtId="0" fontId="16" fillId="14" borderId="107" xfId="22" applyNumberFormat="1" applyFont="1" applyFill="1" applyBorder="1" applyAlignment="1">
      <alignment horizontal="center" vertical="center" wrapText="1"/>
    </xf>
    <xf numFmtId="0" fontId="16" fillId="38" borderId="77" xfId="22" applyNumberFormat="1" applyFont="1" applyFill="1" applyBorder="1" applyAlignment="1">
      <alignment horizontal="center" vertical="center"/>
    </xf>
    <xf numFmtId="0" fontId="16" fillId="9" borderId="77" xfId="22" applyNumberFormat="1" applyFont="1" applyFill="1" applyBorder="1" applyAlignment="1">
      <alignment horizontal="center" vertical="center" wrapText="1"/>
    </xf>
    <xf numFmtId="9" fontId="120" fillId="16" borderId="107" xfId="19" applyNumberFormat="1" applyFont="1" applyFill="1" applyBorder="1" applyAlignment="1">
      <alignment horizontal="center" vertical="center" wrapText="1" readingOrder="1"/>
    </xf>
    <xf numFmtId="9" fontId="120" fillId="49" borderId="107" xfId="19" applyNumberFormat="1" applyFont="1" applyFill="1" applyBorder="1" applyAlignment="1">
      <alignment horizontal="center" vertical="center" wrapText="1" readingOrder="1"/>
    </xf>
    <xf numFmtId="1" fontId="58" fillId="7" borderId="14" xfId="19" applyNumberFormat="1" applyFont="1" applyFill="1" applyBorder="1" applyAlignment="1">
      <alignment horizontal="left" vertical="center" wrapText="1" readingOrder="1"/>
    </xf>
    <xf numFmtId="0" fontId="58" fillId="7" borderId="14" xfId="19" applyFont="1" applyFill="1" applyBorder="1" applyAlignment="1">
      <alignment horizontal="left" vertical="center" wrapText="1" readingOrder="1"/>
    </xf>
    <xf numFmtId="9" fontId="58" fillId="11" borderId="14" xfId="19" applyNumberFormat="1" applyFont="1" applyFill="1" applyBorder="1" applyAlignment="1">
      <alignment horizontal="center" vertical="center" wrapText="1"/>
    </xf>
    <xf numFmtId="9" fontId="58" fillId="34" borderId="14" xfId="19" applyNumberFormat="1" applyFont="1" applyFill="1" applyBorder="1" applyAlignment="1">
      <alignment horizontal="left" vertical="center" wrapText="1" readingOrder="1"/>
    </xf>
    <xf numFmtId="9" fontId="58" fillId="27" borderId="14" xfId="19" applyNumberFormat="1" applyFont="1" applyFill="1" applyBorder="1" applyAlignment="1">
      <alignment horizontal="left" vertical="center" wrapText="1" readingOrder="1"/>
    </xf>
    <xf numFmtId="9" fontId="58" fillId="50" borderId="14" xfId="19" applyNumberFormat="1" applyFont="1" applyFill="1" applyBorder="1" applyAlignment="1">
      <alignment horizontal="left" vertical="center" wrapText="1" readingOrder="1"/>
    </xf>
    <xf numFmtId="49" fontId="111" fillId="0" borderId="0" xfId="1" applyNumberFormat="1" applyFont="1" applyFill="1" applyAlignment="1">
      <alignment horizontal="left" vertical="center" readingOrder="1"/>
    </xf>
    <xf numFmtId="49" fontId="17" fillId="0" borderId="0" xfId="1" applyNumberFormat="1" applyFont="1" applyFill="1" applyAlignment="1">
      <alignment horizontal="left" vertical="center" readingOrder="1"/>
    </xf>
    <xf numFmtId="164" fontId="58" fillId="11" borderId="14" xfId="4" applyNumberFormat="1" applyFont="1" applyFill="1" applyBorder="1" applyAlignment="1">
      <alignment horizontal="center" vertical="center" wrapText="1"/>
    </xf>
    <xf numFmtId="0" fontId="108" fillId="18" borderId="88" xfId="0" applyFont="1" applyFill="1" applyBorder="1" applyAlignment="1">
      <alignment vertical="top" wrapText="1"/>
    </xf>
    <xf numFmtId="0" fontId="108" fillId="18" borderId="86" xfId="0" applyFont="1" applyFill="1" applyBorder="1" applyAlignment="1">
      <alignment vertical="top" wrapText="1"/>
    </xf>
    <xf numFmtId="1" fontId="108" fillId="18" borderId="89" xfId="0" applyNumberFormat="1" applyFont="1" applyFill="1" applyBorder="1" applyAlignment="1">
      <alignment vertical="top" wrapText="1"/>
    </xf>
    <xf numFmtId="1" fontId="108" fillId="18" borderId="86" xfId="0" applyNumberFormat="1" applyFont="1" applyFill="1" applyBorder="1" applyAlignment="1">
      <alignment vertical="top" wrapText="1"/>
    </xf>
    <xf numFmtId="1" fontId="122" fillId="18" borderId="93" xfId="0" applyNumberFormat="1" applyFont="1" applyFill="1" applyBorder="1" applyAlignment="1">
      <alignment vertical="top" wrapText="1"/>
    </xf>
    <xf numFmtId="1" fontId="122" fillId="18" borderId="86" xfId="0" applyNumberFormat="1" applyFont="1" applyFill="1" applyBorder="1" applyAlignment="1">
      <alignment vertical="top" wrapText="1"/>
    </xf>
    <xf numFmtId="1" fontId="108" fillId="18" borderId="93" xfId="0" applyNumberFormat="1" applyFont="1" applyFill="1" applyBorder="1" applyAlignment="1">
      <alignment vertical="top" wrapText="1"/>
    </xf>
    <xf numFmtId="0" fontId="108" fillId="18" borderId="89" xfId="0" applyFont="1" applyFill="1" applyBorder="1" applyAlignment="1">
      <alignment vertical="top" wrapText="1"/>
    </xf>
    <xf numFmtId="1" fontId="123" fillId="6" borderId="86" xfId="0" applyNumberFormat="1" applyFont="1" applyFill="1" applyBorder="1" applyAlignment="1">
      <alignment vertical="top" wrapText="1"/>
    </xf>
    <xf numFmtId="1" fontId="108" fillId="6" borderId="86" xfId="0" applyNumberFormat="1" applyFont="1" applyFill="1" applyBorder="1" applyAlignment="1">
      <alignment vertical="top" wrapText="1"/>
    </xf>
    <xf numFmtId="1" fontId="108" fillId="6" borderId="93" xfId="0" applyNumberFormat="1" applyFont="1" applyFill="1" applyBorder="1" applyAlignment="1">
      <alignment vertical="top" wrapText="1"/>
    </xf>
    <xf numFmtId="1" fontId="108" fillId="6" borderId="88" xfId="0" applyNumberFormat="1" applyFont="1" applyFill="1" applyBorder="1" applyAlignment="1">
      <alignment vertical="top" wrapText="1"/>
    </xf>
    <xf numFmtId="0" fontId="108" fillId="6" borderId="89" xfId="0" applyFont="1" applyFill="1" applyBorder="1" applyAlignment="1">
      <alignment vertical="top" wrapText="1"/>
    </xf>
    <xf numFmtId="0" fontId="108" fillId="6" borderId="87" xfId="0" applyFont="1" applyFill="1" applyBorder="1" applyAlignment="1">
      <alignment vertical="top" wrapText="1"/>
    </xf>
    <xf numFmtId="1" fontId="108" fillId="9" borderId="86" xfId="0" applyNumberFormat="1" applyFont="1" applyFill="1" applyBorder="1" applyAlignment="1">
      <alignment vertical="top" wrapText="1"/>
    </xf>
    <xf numFmtId="1" fontId="126" fillId="9" borderId="86" xfId="0" applyNumberFormat="1" applyFont="1" applyFill="1" applyBorder="1" applyAlignment="1">
      <alignment vertical="top" wrapText="1"/>
    </xf>
    <xf numFmtId="9" fontId="108" fillId="9" borderId="93" xfId="1" applyNumberFormat="1" applyFont="1" applyFill="1" applyBorder="1" applyAlignment="1">
      <alignment vertical="top" wrapText="1"/>
    </xf>
    <xf numFmtId="9" fontId="108" fillId="9" borderId="104" xfId="1" applyNumberFormat="1" applyFont="1" applyFill="1" applyBorder="1" applyAlignment="1">
      <alignment vertical="top" wrapText="1"/>
    </xf>
    <xf numFmtId="1" fontId="108" fillId="9" borderId="87" xfId="0" applyNumberFormat="1" applyFont="1" applyFill="1" applyBorder="1" applyAlignment="1">
      <alignment vertical="top" wrapText="1"/>
    </xf>
    <xf numFmtId="0" fontId="23" fillId="0" borderId="0" xfId="0" applyFont="1" applyAlignment="1"/>
    <xf numFmtId="0" fontId="27" fillId="8" borderId="93" xfId="0" applyFont="1" applyFill="1" applyBorder="1" applyAlignment="1">
      <alignment horizontal="center" vertical="center" wrapText="1"/>
    </xf>
    <xf numFmtId="0" fontId="27" fillId="8" borderId="86" xfId="0" applyFont="1" applyFill="1" applyBorder="1" applyAlignment="1">
      <alignment horizontal="center" vertical="center" wrapText="1"/>
    </xf>
    <xf numFmtId="0" fontId="24" fillId="18" borderId="76" xfId="19" applyFont="1" applyFill="1" applyBorder="1" applyAlignment="1">
      <alignment horizontal="center" vertical="center" wrapText="1"/>
    </xf>
    <xf numFmtId="0" fontId="24" fillId="18" borderId="76" xfId="19" applyFont="1" applyFill="1" applyBorder="1" applyAlignment="1">
      <alignment horizontal="center" vertical="center" wrapText="1" readingOrder="1"/>
    </xf>
    <xf numFmtId="14" fontId="24" fillId="18" borderId="76" xfId="19" applyNumberFormat="1" applyFont="1" applyFill="1" applyBorder="1" applyAlignment="1">
      <alignment horizontal="center" vertical="center" wrapText="1" readingOrder="1"/>
    </xf>
    <xf numFmtId="1" fontId="24" fillId="7" borderId="76" xfId="19" applyNumberFormat="1" applyFont="1" applyFill="1" applyBorder="1" applyAlignment="1">
      <alignment horizontal="center" vertical="center" wrapText="1" readingOrder="1"/>
    </xf>
    <xf numFmtId="1" fontId="119" fillId="7" borderId="76" xfId="19" applyNumberFormat="1" applyFont="1" applyFill="1" applyBorder="1" applyAlignment="1">
      <alignment horizontal="center" vertical="center" wrapText="1" readingOrder="1"/>
    </xf>
    <xf numFmtId="0" fontId="24" fillId="7" borderId="76" xfId="19" applyFont="1" applyFill="1" applyBorder="1" applyAlignment="1">
      <alignment horizontal="center" vertical="center" wrapText="1" readingOrder="1"/>
    </xf>
    <xf numFmtId="0" fontId="24" fillId="11" borderId="76" xfId="20" applyNumberFormat="1" applyFont="1" applyFill="1" applyBorder="1" applyAlignment="1">
      <alignment horizontal="center" vertical="center" wrapText="1" readingOrder="1"/>
    </xf>
    <xf numFmtId="0" fontId="24" fillId="11" borderId="76" xfId="19" applyFont="1" applyFill="1" applyBorder="1" applyAlignment="1">
      <alignment horizontal="center" vertical="center" wrapText="1"/>
    </xf>
    <xf numFmtId="9" fontId="24" fillId="11" borderId="79" xfId="19" applyNumberFormat="1" applyFont="1" applyFill="1" applyBorder="1" applyAlignment="1">
      <alignment horizontal="center" vertical="center" wrapText="1" readingOrder="1"/>
    </xf>
    <xf numFmtId="9" fontId="24" fillId="34" borderId="79" xfId="19" applyNumberFormat="1" applyFont="1" applyFill="1" applyBorder="1" applyAlignment="1">
      <alignment horizontal="center" vertical="center" wrapText="1" readingOrder="1"/>
    </xf>
    <xf numFmtId="9" fontId="24" fillId="27" borderId="0" xfId="19" applyNumberFormat="1" applyFont="1" applyFill="1" applyBorder="1" applyAlignment="1">
      <alignment horizontal="center" vertical="center" wrapText="1" readingOrder="1"/>
    </xf>
    <xf numFmtId="9" fontId="24" fillId="50" borderId="79" xfId="19" applyNumberFormat="1" applyFont="1" applyFill="1" applyBorder="1" applyAlignment="1">
      <alignment horizontal="center" vertical="center" wrapText="1" readingOrder="1"/>
    </xf>
    <xf numFmtId="0" fontId="27" fillId="5" borderId="100" xfId="0" applyFont="1" applyFill="1" applyBorder="1" applyAlignment="1">
      <alignment vertical="center"/>
    </xf>
    <xf numFmtId="0" fontId="27" fillId="5" borderId="110" xfId="0" applyFont="1" applyFill="1" applyBorder="1" applyAlignment="1">
      <alignment vertical="center"/>
    </xf>
    <xf numFmtId="1" fontId="92" fillId="18" borderId="112" xfId="0" applyNumberFormat="1" applyFont="1" applyFill="1" applyBorder="1" applyAlignment="1">
      <alignment vertical="top" wrapText="1"/>
    </xf>
    <xf numFmtId="1" fontId="92" fillId="18" borderId="114" xfId="0" applyNumberFormat="1" applyFont="1" applyFill="1" applyBorder="1" applyAlignment="1">
      <alignment vertical="top" wrapText="1"/>
    </xf>
    <xf numFmtId="9" fontId="58" fillId="50" borderId="118" xfId="19" applyNumberFormat="1" applyFont="1" applyFill="1" applyBorder="1" applyAlignment="1">
      <alignment horizontal="left" vertical="center" wrapText="1" readingOrder="1"/>
    </xf>
    <xf numFmtId="0" fontId="27" fillId="5" borderId="111" xfId="0" applyFont="1" applyFill="1" applyBorder="1" applyAlignment="1">
      <alignment horizontal="center" vertical="center" wrapText="1"/>
    </xf>
    <xf numFmtId="0" fontId="27" fillId="5" borderId="113" xfId="0" applyFont="1" applyFill="1" applyBorder="1" applyAlignment="1">
      <alignment horizontal="center" vertical="center" wrapText="1"/>
    </xf>
    <xf numFmtId="0" fontId="120" fillId="14" borderId="76" xfId="22" applyFont="1" applyFill="1" applyBorder="1" applyAlignment="1">
      <alignment horizontal="left" vertical="center" wrapText="1"/>
    </xf>
    <xf numFmtId="0" fontId="120" fillId="8" borderId="76" xfId="22" applyFont="1" applyFill="1" applyBorder="1" applyAlignment="1">
      <alignment horizontal="left" vertical="center" wrapText="1"/>
    </xf>
    <xf numFmtId="1" fontId="27" fillId="8" borderId="86" xfId="0" applyNumberFormat="1" applyFont="1" applyFill="1" applyBorder="1" applyAlignment="1">
      <alignment horizontal="center" vertical="center" wrapText="1"/>
    </xf>
    <xf numFmtId="1" fontId="32" fillId="8" borderId="86" xfId="0" applyNumberFormat="1" applyFont="1" applyFill="1" applyBorder="1" applyAlignment="1">
      <alignment horizontal="center" vertical="center" wrapText="1"/>
    </xf>
    <xf numFmtId="0" fontId="27" fillId="8" borderId="88" xfId="0" applyFont="1" applyFill="1" applyBorder="1" applyAlignment="1">
      <alignment horizontal="center" vertical="center" wrapText="1"/>
    </xf>
    <xf numFmtId="0" fontId="27" fillId="8" borderId="89" xfId="0" applyFont="1" applyFill="1" applyBorder="1" applyAlignment="1">
      <alignment horizontal="center" vertical="center" wrapText="1"/>
    </xf>
    <xf numFmtId="164" fontId="59" fillId="10" borderId="38" xfId="4" applyNumberFormat="1" applyFont="1" applyFill="1" applyBorder="1" applyAlignment="1">
      <alignment horizontal="center" vertical="center"/>
    </xf>
    <xf numFmtId="9" fontId="59" fillId="10" borderId="38" xfId="1" applyFont="1" applyFill="1" applyBorder="1" applyAlignment="1">
      <alignment horizontal="center" vertical="center"/>
    </xf>
    <xf numFmtId="164" fontId="59" fillId="7" borderId="33" xfId="4" applyNumberFormat="1" applyFont="1" applyFill="1" applyBorder="1" applyAlignment="1">
      <alignment horizontal="center" vertical="center"/>
    </xf>
    <xf numFmtId="164" fontId="113" fillId="7" borderId="38" xfId="4" applyNumberFormat="1" applyFont="1" applyFill="1" applyBorder="1" applyAlignment="1">
      <alignment horizontal="center" vertical="center"/>
    </xf>
    <xf numFmtId="9" fontId="59" fillId="7" borderId="38" xfId="1" applyFont="1" applyFill="1" applyBorder="1" applyAlignment="1">
      <alignment horizontal="center" vertical="center"/>
    </xf>
    <xf numFmtId="164" fontId="59" fillId="7" borderId="38" xfId="4" applyNumberFormat="1" applyFont="1" applyFill="1" applyBorder="1" applyAlignment="1">
      <alignment horizontal="center" vertical="center"/>
    </xf>
    <xf numFmtId="164" fontId="59" fillId="11" borderId="33" xfId="4" applyNumberFormat="1" applyFont="1" applyFill="1" applyBorder="1" applyAlignment="1">
      <alignment horizontal="center" vertical="center"/>
    </xf>
    <xf numFmtId="164" fontId="113" fillId="11" borderId="38" xfId="4" applyNumberFormat="1" applyFont="1" applyFill="1" applyBorder="1" applyAlignment="1">
      <alignment horizontal="center" vertical="center"/>
    </xf>
    <xf numFmtId="9" fontId="59" fillId="11" borderId="38" xfId="1" applyFont="1" applyFill="1" applyBorder="1" applyAlignment="1">
      <alignment horizontal="center" vertical="center"/>
    </xf>
    <xf numFmtId="164" fontId="59" fillId="11" borderId="38" xfId="4" applyNumberFormat="1" applyFont="1" applyFill="1" applyBorder="1" applyAlignment="1">
      <alignment horizontal="center" vertical="center"/>
    </xf>
    <xf numFmtId="164" fontId="113" fillId="12" borderId="33" xfId="4" applyNumberFormat="1" applyFont="1" applyFill="1" applyBorder="1" applyAlignment="1">
      <alignment horizontal="center" vertical="center"/>
    </xf>
    <xf numFmtId="164" fontId="113" fillId="12" borderId="38" xfId="4" applyNumberFormat="1" applyFont="1" applyFill="1" applyBorder="1" applyAlignment="1">
      <alignment horizontal="center" vertical="center"/>
    </xf>
    <xf numFmtId="9" fontId="113" fillId="12" borderId="38" xfId="1" applyFont="1" applyFill="1" applyBorder="1" applyAlignment="1">
      <alignment horizontal="center" vertical="center"/>
    </xf>
    <xf numFmtId="164" fontId="113" fillId="12" borderId="33" xfId="4" applyNumberFormat="1" applyFont="1" applyFill="1" applyBorder="1" applyAlignment="1">
      <alignment horizontal="left" vertical="center" wrapText="1"/>
    </xf>
    <xf numFmtId="9" fontId="17" fillId="0" borderId="0" xfId="1" applyFont="1" applyFill="1" applyBorder="1" applyAlignment="1">
      <alignment horizontal="left" vertical="center" readingOrder="1"/>
    </xf>
    <xf numFmtId="49" fontId="17" fillId="0" borderId="0" xfId="1" applyNumberFormat="1" applyFont="1" applyFill="1" applyAlignment="1">
      <alignment horizontal="left" vertical="center" wrapText="1" readingOrder="1"/>
    </xf>
    <xf numFmtId="0" fontId="67" fillId="0" borderId="35" xfId="0" applyFont="1" applyBorder="1" applyAlignment="1">
      <alignment horizontal="center" vertical="center" wrapText="1"/>
    </xf>
    <xf numFmtId="164" fontId="28" fillId="0" borderId="0" xfId="4" applyNumberFormat="1" applyFont="1" applyFill="1" applyAlignment="1"/>
    <xf numFmtId="164" fontId="28" fillId="0" borderId="0" xfId="0" applyNumberFormat="1" applyFont="1" applyFill="1" applyAlignment="1"/>
    <xf numFmtId="43" fontId="28" fillId="0" borderId="0" xfId="4" applyNumberFormat="1" applyFont="1" applyFill="1" applyAlignment="1"/>
    <xf numFmtId="0" fontId="120" fillId="9" borderId="76" xfId="22" applyFont="1" applyFill="1" applyBorder="1" applyAlignment="1">
      <alignment horizontal="left" vertical="center" wrapText="1"/>
    </xf>
    <xf numFmtId="0" fontId="128" fillId="45" borderId="36" xfId="0" applyFont="1" applyFill="1" applyBorder="1" applyAlignment="1">
      <alignment horizontal="center" vertical="center" wrapText="1"/>
    </xf>
    <xf numFmtId="164" fontId="59" fillId="10" borderId="119" xfId="4" applyNumberFormat="1" applyFont="1" applyFill="1" applyBorder="1" applyAlignment="1">
      <alignment vertical="center" wrapText="1"/>
    </xf>
    <xf numFmtId="164" fontId="78" fillId="14" borderId="86" xfId="4" applyNumberFormat="1" applyFont="1" applyFill="1" applyBorder="1" applyAlignment="1">
      <alignment vertical="center" wrapText="1"/>
    </xf>
    <xf numFmtId="164" fontId="59" fillId="10" borderId="33" xfId="4" applyNumberFormat="1" applyFont="1" applyFill="1" applyBorder="1" applyAlignment="1">
      <alignment vertical="center" wrapText="1"/>
    </xf>
    <xf numFmtId="164" fontId="59" fillId="7" borderId="120" xfId="4" applyNumberFormat="1" applyFont="1" applyFill="1" applyBorder="1" applyAlignment="1">
      <alignment vertical="center" wrapText="1"/>
    </xf>
    <xf numFmtId="164" fontId="59" fillId="7" borderId="33" xfId="4" applyNumberFormat="1" applyFont="1" applyFill="1" applyBorder="1" applyAlignment="1">
      <alignment vertical="center" wrapText="1"/>
    </xf>
    <xf numFmtId="164" fontId="78" fillId="8" borderId="33" xfId="4" applyNumberFormat="1" applyFont="1" applyFill="1" applyBorder="1" applyAlignment="1">
      <alignment vertical="center" wrapText="1"/>
    </xf>
    <xf numFmtId="164" fontId="59" fillId="11" borderId="33" xfId="4" applyNumberFormat="1" applyFont="1" applyFill="1" applyBorder="1" applyAlignment="1">
      <alignment vertical="center" wrapText="1"/>
    </xf>
    <xf numFmtId="164" fontId="78" fillId="36" borderId="33" xfId="4" applyNumberFormat="1" applyFont="1" applyFill="1" applyBorder="1" applyAlignment="1">
      <alignment vertical="center" wrapText="1"/>
    </xf>
    <xf numFmtId="164" fontId="59" fillId="10" borderId="33" xfId="4" applyNumberFormat="1" applyFont="1" applyFill="1" applyBorder="1"/>
    <xf numFmtId="0" fontId="78" fillId="0" borderId="0" xfId="0" applyFont="1"/>
    <xf numFmtId="164" fontId="78" fillId="14" borderId="33" xfId="4" applyNumberFormat="1" applyFont="1" applyFill="1" applyBorder="1" applyAlignment="1">
      <alignment horizontal="center" vertical="center"/>
    </xf>
    <xf numFmtId="164" fontId="78" fillId="14" borderId="38" xfId="4" applyNumberFormat="1" applyFont="1" applyFill="1" applyBorder="1" applyAlignment="1">
      <alignment horizontal="center" vertical="center"/>
    </xf>
    <xf numFmtId="9" fontId="78" fillId="14" borderId="38" xfId="1" applyFont="1" applyFill="1" applyBorder="1" applyAlignment="1">
      <alignment horizontal="center" vertical="center"/>
    </xf>
    <xf numFmtId="164" fontId="78" fillId="8" borderId="33" xfId="4" applyNumberFormat="1" applyFont="1" applyFill="1" applyBorder="1" applyAlignment="1">
      <alignment horizontal="center" vertical="center"/>
    </xf>
    <xf numFmtId="164" fontId="78" fillId="8" borderId="38" xfId="4" applyNumberFormat="1" applyFont="1" applyFill="1" applyBorder="1" applyAlignment="1">
      <alignment horizontal="center" vertical="center"/>
    </xf>
    <xf numFmtId="9" fontId="78" fillId="8" borderId="38" xfId="1" applyFont="1" applyFill="1" applyBorder="1" applyAlignment="1">
      <alignment horizontal="center" vertical="center"/>
    </xf>
    <xf numFmtId="164" fontId="78" fillId="36" borderId="33" xfId="4" applyNumberFormat="1" applyFont="1" applyFill="1" applyBorder="1" applyAlignment="1">
      <alignment horizontal="center" vertical="center"/>
    </xf>
    <xf numFmtId="164" fontId="78" fillId="36" borderId="38" xfId="4" applyNumberFormat="1" applyFont="1" applyFill="1" applyBorder="1" applyAlignment="1">
      <alignment horizontal="center" vertical="center"/>
    </xf>
    <xf numFmtId="9" fontId="78" fillId="36" borderId="38" xfId="1" applyFont="1" applyFill="1" applyBorder="1" applyAlignment="1">
      <alignment horizontal="center" vertical="center"/>
    </xf>
    <xf numFmtId="164" fontId="65" fillId="26" borderId="33" xfId="4" applyNumberFormat="1" applyFont="1" applyFill="1" applyBorder="1" applyAlignment="1">
      <alignment horizontal="left" vertical="center" wrapText="1"/>
    </xf>
    <xf numFmtId="164" fontId="65" fillId="26" borderId="33" xfId="4" applyNumberFormat="1" applyFont="1" applyFill="1" applyBorder="1" applyAlignment="1">
      <alignment horizontal="center" vertical="center"/>
    </xf>
    <xf numFmtId="164" fontId="65" fillId="26" borderId="38" xfId="4" applyNumberFormat="1" applyFont="1" applyFill="1" applyBorder="1" applyAlignment="1">
      <alignment horizontal="center" vertical="center"/>
    </xf>
    <xf numFmtId="9" fontId="65" fillId="26" borderId="38" xfId="1" applyFont="1" applyFill="1" applyBorder="1" applyAlignment="1">
      <alignment horizontal="center" vertical="center"/>
    </xf>
    <xf numFmtId="0" fontId="67" fillId="0" borderId="125" xfId="0" applyFont="1" applyBorder="1" applyAlignment="1">
      <alignment vertical="center" wrapText="1"/>
    </xf>
    <xf numFmtId="0" fontId="67" fillId="0" borderId="126" xfId="0" applyFont="1" applyBorder="1" applyAlignment="1">
      <alignment vertical="center" wrapText="1"/>
    </xf>
    <xf numFmtId="0" fontId="67" fillId="33" borderId="34" xfId="0" applyFont="1" applyFill="1" applyBorder="1" applyAlignment="1">
      <alignment horizontal="center" vertical="center" wrapText="1"/>
    </xf>
    <xf numFmtId="0" fontId="67" fillId="33" borderId="35" xfId="0" applyFont="1" applyFill="1" applyBorder="1" applyAlignment="1">
      <alignment horizontal="center" vertical="center" wrapText="1"/>
    </xf>
    <xf numFmtId="0" fontId="67" fillId="33" borderId="36" xfId="0" applyFont="1" applyFill="1" applyBorder="1" applyAlignment="1">
      <alignment horizontal="center" vertical="center" wrapText="1"/>
    </xf>
    <xf numFmtId="164" fontId="78" fillId="26" borderId="40" xfId="4" applyNumberFormat="1" applyFont="1" applyFill="1" applyBorder="1" applyAlignment="1">
      <alignment horizontal="left" vertical="center" wrapText="1"/>
    </xf>
    <xf numFmtId="9" fontId="78" fillId="26" borderId="41" xfId="1" applyFont="1" applyFill="1" applyBorder="1" applyAlignment="1">
      <alignment horizontal="center" vertical="center"/>
    </xf>
    <xf numFmtId="164" fontId="78" fillId="26" borderId="41" xfId="4" applyNumberFormat="1" applyFont="1" applyFill="1" applyBorder="1" applyAlignment="1">
      <alignment horizontal="center" vertical="center"/>
    </xf>
    <xf numFmtId="2" fontId="28" fillId="0" borderId="0" xfId="0" applyNumberFormat="1" applyFont="1" applyFill="1" applyAlignment="1"/>
    <xf numFmtId="9" fontId="78" fillId="14" borderId="33" xfId="1" applyFont="1" applyFill="1" applyBorder="1" applyAlignment="1">
      <alignment horizontal="center" vertical="center"/>
    </xf>
    <xf numFmtId="9" fontId="113" fillId="7" borderId="38" xfId="1" applyFont="1" applyFill="1" applyBorder="1" applyAlignment="1">
      <alignment horizontal="center" vertical="center"/>
    </xf>
    <xf numFmtId="9" fontId="78" fillId="8" borderId="33" xfId="1" applyFont="1" applyFill="1" applyBorder="1" applyAlignment="1">
      <alignment horizontal="center" vertical="center"/>
    </xf>
    <xf numFmtId="9" fontId="113" fillId="11" borderId="38" xfId="1" applyFont="1" applyFill="1" applyBorder="1" applyAlignment="1">
      <alignment horizontal="center" vertical="center"/>
    </xf>
    <xf numFmtId="9" fontId="78" fillId="36" borderId="33" xfId="1" applyFont="1" applyFill="1" applyBorder="1" applyAlignment="1">
      <alignment horizontal="center" vertical="center"/>
    </xf>
    <xf numFmtId="9" fontId="65" fillId="26" borderId="33" xfId="1" applyFont="1" applyFill="1" applyBorder="1" applyAlignment="1">
      <alignment horizontal="center" vertical="center"/>
    </xf>
    <xf numFmtId="9" fontId="78" fillId="26" borderId="40" xfId="1" applyFont="1" applyFill="1" applyBorder="1" applyAlignment="1">
      <alignment horizontal="left" vertical="center" wrapText="1"/>
    </xf>
    <xf numFmtId="0" fontId="58" fillId="51" borderId="129" xfId="0" applyNumberFormat="1" applyFont="1" applyFill="1" applyBorder="1" applyAlignment="1">
      <alignment horizontal="center" vertical="center" wrapText="1" readingOrder="1"/>
    </xf>
    <xf numFmtId="0" fontId="76" fillId="39" borderId="130" xfId="0" applyFont="1" applyFill="1" applyBorder="1"/>
    <xf numFmtId="0" fontId="0" fillId="0" borderId="4" xfId="0" applyBorder="1"/>
    <xf numFmtId="0" fontId="3" fillId="0" borderId="4" xfId="0" applyFont="1" applyBorder="1"/>
    <xf numFmtId="0" fontId="73" fillId="0" borderId="4" xfId="0" applyFont="1" applyBorder="1"/>
    <xf numFmtId="0" fontId="75" fillId="0" borderId="4" xfId="0" applyFont="1" applyBorder="1" applyAlignment="1">
      <alignment horizontal="left"/>
    </xf>
    <xf numFmtId="9" fontId="9" fillId="0" borderId="4" xfId="1" applyFont="1" applyBorder="1"/>
    <xf numFmtId="0" fontId="3" fillId="0" borderId="59" xfId="0" applyNumberFormat="1" applyFont="1" applyBorder="1"/>
    <xf numFmtId="0" fontId="76" fillId="39" borderId="57" xfId="0" applyFont="1" applyFill="1" applyBorder="1"/>
    <xf numFmtId="0" fontId="3" fillId="0" borderId="58" xfId="0" applyNumberFormat="1" applyFont="1" applyBorder="1"/>
    <xf numFmtId="0" fontId="73" fillId="0" borderId="0" xfId="0" pivotButton="1" applyFont="1"/>
    <xf numFmtId="0" fontId="76" fillId="39" borderId="130" xfId="0" applyFont="1" applyFill="1" applyBorder="1" applyAlignment="1">
      <alignment vertical="top"/>
    </xf>
    <xf numFmtId="9" fontId="129" fillId="0" borderId="135" xfId="0" applyNumberFormat="1" applyFont="1" applyBorder="1"/>
    <xf numFmtId="9" fontId="129" fillId="0" borderId="137" xfId="0" applyNumberFormat="1" applyFont="1" applyBorder="1"/>
    <xf numFmtId="0" fontId="112" fillId="9" borderId="131" xfId="0" applyFont="1" applyFill="1" applyBorder="1" applyAlignment="1">
      <alignment horizontal="center" vertical="center"/>
    </xf>
    <xf numFmtId="0" fontId="72" fillId="9" borderId="132" xfId="0" applyFont="1" applyFill="1" applyBorder="1" applyAlignment="1">
      <alignment horizontal="center" vertical="center"/>
    </xf>
    <xf numFmtId="0" fontId="72" fillId="9" borderId="133" xfId="0" applyFont="1" applyFill="1" applyBorder="1" applyAlignment="1">
      <alignment horizontal="center" vertical="center"/>
    </xf>
    <xf numFmtId="0" fontId="22" fillId="0" borderId="134" xfId="0" applyFont="1" applyBorder="1"/>
    <xf numFmtId="0" fontId="22" fillId="0" borderId="136" xfId="0" applyFont="1" applyBorder="1"/>
    <xf numFmtId="9" fontId="73" fillId="0" borderId="0" xfId="0" applyNumberFormat="1" applyFont="1"/>
    <xf numFmtId="0" fontId="73" fillId="0" borderId="142" xfId="0" applyFont="1" applyBorder="1"/>
    <xf numFmtId="0" fontId="130" fillId="0" borderId="145" xfId="0" applyFont="1" applyBorder="1"/>
    <xf numFmtId="9" fontId="131" fillId="0" borderId="146" xfId="0" applyNumberFormat="1" applyFont="1" applyBorder="1"/>
    <xf numFmtId="9" fontId="131" fillId="0" borderId="147" xfId="0" applyNumberFormat="1" applyFont="1" applyBorder="1"/>
    <xf numFmtId="0" fontId="130" fillId="0" borderId="148" xfId="0" applyFont="1" applyBorder="1"/>
    <xf numFmtId="9" fontId="131" fillId="0" borderId="149" xfId="0" applyNumberFormat="1" applyFont="1" applyBorder="1"/>
    <xf numFmtId="9" fontId="131" fillId="0" borderId="150" xfId="0" applyNumberFormat="1" applyFont="1" applyBorder="1"/>
    <xf numFmtId="0" fontId="2" fillId="0" borderId="0" xfId="0" applyFont="1"/>
    <xf numFmtId="0" fontId="133" fillId="52" borderId="141" xfId="0" applyFont="1" applyFill="1" applyBorder="1"/>
    <xf numFmtId="0" fontId="133" fillId="52" borderId="96" xfId="0" applyFont="1" applyFill="1" applyBorder="1"/>
    <xf numFmtId="9" fontId="132" fillId="52" borderId="140" xfId="0" applyNumberFormat="1" applyFont="1" applyFill="1" applyBorder="1"/>
    <xf numFmtId="9" fontId="132" fillId="52" borderId="139" xfId="0" applyNumberFormat="1" applyFont="1" applyFill="1" applyBorder="1"/>
    <xf numFmtId="0" fontId="73" fillId="12" borderId="143" xfId="0" applyFont="1" applyFill="1" applyBorder="1"/>
    <xf numFmtId="0" fontId="73" fillId="12" borderId="144" xfId="0" applyFont="1" applyFill="1" applyBorder="1"/>
    <xf numFmtId="0" fontId="69" fillId="16" borderId="0" xfId="0" applyFont="1" applyFill="1"/>
    <xf numFmtId="0" fontId="22" fillId="16" borderId="0" xfId="0" applyFont="1" applyFill="1"/>
    <xf numFmtId="0" fontId="133" fillId="52" borderId="97" xfId="0" applyFont="1" applyFill="1" applyBorder="1"/>
    <xf numFmtId="9" fontId="132" fillId="52" borderId="138" xfId="0" applyNumberFormat="1" applyFont="1" applyFill="1" applyBorder="1"/>
    <xf numFmtId="0" fontId="129" fillId="0" borderId="154" xfId="0" applyFont="1" applyBorder="1" applyAlignment="1">
      <alignment horizontal="left"/>
    </xf>
    <xf numFmtId="0" fontId="59" fillId="0" borderId="70" xfId="0" applyFont="1" applyFill="1" applyBorder="1" applyAlignment="1">
      <alignment vertical="center"/>
    </xf>
    <xf numFmtId="0" fontId="59" fillId="0" borderId="23" xfId="0" applyFont="1" applyFill="1" applyBorder="1" applyAlignment="1">
      <alignment vertical="center"/>
    </xf>
    <xf numFmtId="164" fontId="59" fillId="0" borderId="23" xfId="4" applyNumberFormat="1" applyFont="1" applyFill="1" applyBorder="1" applyAlignment="1">
      <alignment vertical="center"/>
    </xf>
    <xf numFmtId="9" fontId="59" fillId="0" borderId="23" xfId="0" applyNumberFormat="1" applyFont="1" applyFill="1" applyBorder="1" applyAlignment="1">
      <alignment horizontal="center" vertical="center"/>
    </xf>
    <xf numFmtId="9" fontId="59" fillId="0" borderId="71" xfId="0" applyNumberFormat="1" applyFont="1" applyFill="1" applyBorder="1" applyAlignment="1">
      <alignment horizontal="center" vertical="center"/>
    </xf>
    <xf numFmtId="0" fontId="59" fillId="0" borderId="72" xfId="0" applyFont="1" applyFill="1" applyBorder="1" applyAlignment="1">
      <alignment vertical="center"/>
    </xf>
    <xf numFmtId="0" fontId="59" fillId="0" borderId="67" xfId="0" applyFont="1" applyFill="1" applyBorder="1" applyAlignment="1">
      <alignment vertical="center" wrapText="1"/>
    </xf>
    <xf numFmtId="164" fontId="59" fillId="0" borderId="67" xfId="4" applyNumberFormat="1" applyFont="1" applyFill="1" applyBorder="1" applyAlignment="1">
      <alignment vertical="center"/>
    </xf>
    <xf numFmtId="9" fontId="59" fillId="0" borderId="67" xfId="0" applyNumberFormat="1" applyFont="1" applyFill="1" applyBorder="1" applyAlignment="1">
      <alignment horizontal="center" vertical="center"/>
    </xf>
    <xf numFmtId="9" fontId="59" fillId="0" borderId="73" xfId="0" applyNumberFormat="1" applyFont="1" applyFill="1" applyBorder="1" applyAlignment="1">
      <alignment horizontal="center" vertical="center"/>
    </xf>
    <xf numFmtId="0" fontId="60" fillId="0" borderId="74" xfId="0" applyFont="1" applyFill="1" applyBorder="1" applyAlignment="1">
      <alignment horizontal="left" vertical="center"/>
    </xf>
    <xf numFmtId="0" fontId="60" fillId="0" borderId="75" xfId="0" applyFont="1" applyFill="1" applyBorder="1" applyAlignment="1">
      <alignment vertical="center"/>
    </xf>
    <xf numFmtId="164" fontId="60" fillId="0" borderId="75" xfId="0" applyNumberFormat="1" applyFont="1" applyFill="1" applyBorder="1" applyAlignment="1">
      <alignment vertical="center"/>
    </xf>
    <xf numFmtId="9" fontId="60" fillId="0" borderId="75" xfId="1" applyFont="1" applyFill="1" applyBorder="1" applyAlignment="1">
      <alignment horizontal="center" vertical="center"/>
    </xf>
    <xf numFmtId="0" fontId="1" fillId="0" borderId="0" xfId="0" applyFont="1"/>
    <xf numFmtId="0" fontId="1" fillId="0" borderId="68" xfId="0" applyFont="1" applyBorder="1" applyAlignment="1">
      <alignment vertical="center" wrapText="1"/>
    </xf>
    <xf numFmtId="0" fontId="72" fillId="35" borderId="61" xfId="0" applyFont="1" applyFill="1" applyBorder="1" applyAlignment="1">
      <alignment horizontal="center" vertical="center"/>
    </xf>
    <xf numFmtId="0" fontId="72" fillId="35" borderId="61" xfId="0" applyFont="1" applyFill="1" applyBorder="1" applyAlignment="1">
      <alignment horizontal="center" vertical="center" wrapText="1"/>
    </xf>
    <xf numFmtId="0" fontId="72" fillId="35" borderId="69" xfId="0" applyFont="1" applyFill="1" applyBorder="1" applyAlignment="1">
      <alignment horizontal="center" vertical="center" wrapText="1"/>
    </xf>
    <xf numFmtId="0" fontId="76" fillId="39" borderId="151" xfId="0" applyFont="1" applyFill="1" applyBorder="1" applyAlignment="1">
      <alignment wrapText="1"/>
    </xf>
    <xf numFmtId="0" fontId="0" fillId="0" borderId="0" xfId="0" applyAlignment="1">
      <alignment wrapText="1"/>
    </xf>
    <xf numFmtId="0" fontId="0" fillId="0" borderId="155" xfId="0" applyFont="1" applyBorder="1" applyAlignment="1">
      <alignment wrapText="1"/>
    </xf>
    <xf numFmtId="0" fontId="76" fillId="53" borderId="157" xfId="0" applyFont="1" applyFill="1" applyBorder="1" applyAlignment="1">
      <alignment wrapText="1"/>
    </xf>
    <xf numFmtId="0" fontId="0" fillId="0" borderId="55" xfId="0" applyFont="1" applyBorder="1" applyAlignment="1">
      <alignment wrapText="1"/>
    </xf>
    <xf numFmtId="0" fontId="76" fillId="53" borderId="158" xfId="0" applyFont="1" applyFill="1" applyBorder="1" applyAlignment="1">
      <alignment wrapText="1"/>
    </xf>
    <xf numFmtId="0" fontId="76" fillId="53" borderId="159" xfId="0" applyFont="1" applyFill="1" applyBorder="1" applyAlignment="1">
      <alignment wrapText="1"/>
    </xf>
    <xf numFmtId="0" fontId="76" fillId="54" borderId="160" xfId="0" applyFont="1" applyFill="1" applyBorder="1" applyAlignment="1">
      <alignment wrapText="1"/>
    </xf>
    <xf numFmtId="0" fontId="76" fillId="56" borderId="156" xfId="0" applyFont="1" applyFill="1" applyBorder="1" applyAlignment="1">
      <alignment wrapText="1"/>
    </xf>
    <xf numFmtId="0" fontId="76" fillId="56" borderId="0" xfId="0" applyFont="1" applyFill="1" applyBorder="1" applyAlignment="1">
      <alignment wrapText="1"/>
    </xf>
    <xf numFmtId="0" fontId="76" fillId="57" borderId="165" xfId="0" applyFont="1" applyFill="1" applyBorder="1" applyAlignment="1">
      <alignment wrapText="1"/>
    </xf>
    <xf numFmtId="0" fontId="76" fillId="57" borderId="140" xfId="0" applyFont="1" applyFill="1" applyBorder="1" applyAlignment="1">
      <alignment wrapText="1"/>
    </xf>
    <xf numFmtId="0" fontId="76" fillId="57" borderId="141" xfId="0" applyFont="1" applyFill="1" applyBorder="1" applyAlignment="1">
      <alignment wrapText="1"/>
    </xf>
    <xf numFmtId="0" fontId="76" fillId="55" borderId="161" xfId="0" applyFont="1" applyFill="1" applyBorder="1" applyAlignment="1">
      <alignment wrapText="1"/>
    </xf>
    <xf numFmtId="0" fontId="0" fillId="0" borderId="162" xfId="0" applyFont="1" applyBorder="1" applyAlignment="1">
      <alignment horizontal="left" vertical="center" wrapText="1"/>
    </xf>
    <xf numFmtId="0" fontId="76" fillId="55" borderId="163" xfId="0" applyFont="1" applyFill="1" applyBorder="1" applyAlignment="1">
      <alignment wrapText="1"/>
    </xf>
    <xf numFmtId="0" fontId="76" fillId="55" borderId="164" xfId="0" applyFont="1" applyFill="1" applyBorder="1" applyAlignment="1">
      <alignment wrapText="1"/>
    </xf>
    <xf numFmtId="164" fontId="129" fillId="0" borderId="153" xfId="0" applyNumberFormat="1" applyFont="1" applyBorder="1"/>
    <xf numFmtId="164" fontId="129" fillId="0" borderId="152" xfId="0" applyNumberFormat="1" applyFont="1" applyBorder="1"/>
    <xf numFmtId="0" fontId="129" fillId="0" borderId="166" xfId="0" applyFont="1" applyBorder="1" applyAlignment="1">
      <alignment horizontal="left"/>
    </xf>
    <xf numFmtId="0" fontId="136" fillId="0" borderId="0" xfId="0" pivotButton="1" applyFont="1"/>
    <xf numFmtId="0" fontId="136" fillId="0" borderId="0" xfId="0" applyFont="1"/>
    <xf numFmtId="0" fontId="136" fillId="0" borderId="0" xfId="0" applyFont="1" applyAlignment="1">
      <alignment horizontal="left"/>
    </xf>
    <xf numFmtId="3" fontId="136" fillId="0" borderId="0" xfId="0" applyNumberFormat="1" applyFont="1"/>
    <xf numFmtId="0" fontId="136" fillId="0" borderId="0" xfId="0" applyNumberFormat="1" applyFont="1"/>
    <xf numFmtId="0" fontId="136" fillId="0" borderId="0" xfId="0" applyFont="1" applyAlignment="1">
      <alignment wrapText="1"/>
    </xf>
    <xf numFmtId="164" fontId="137" fillId="14" borderId="0" xfId="0" applyNumberFormat="1" applyFont="1" applyFill="1"/>
    <xf numFmtId="164" fontId="137" fillId="8" borderId="0" xfId="0" applyNumberFormat="1" applyFont="1" applyFill="1"/>
    <xf numFmtId="164" fontId="137" fillId="9" borderId="0" xfId="0" applyNumberFormat="1" applyFont="1" applyFill="1"/>
    <xf numFmtId="164" fontId="137" fillId="26" borderId="0" xfId="0" applyNumberFormat="1" applyFont="1" applyFill="1"/>
    <xf numFmtId="0" fontId="137" fillId="14" borderId="0" xfId="0" applyFont="1" applyFill="1" applyAlignment="1">
      <alignment horizontal="center"/>
    </xf>
    <xf numFmtId="0" fontId="137" fillId="26" borderId="0" xfId="0" applyFont="1" applyFill="1" applyAlignment="1">
      <alignment horizontal="center" vertical="center" wrapText="1"/>
    </xf>
    <xf numFmtId="0" fontId="137" fillId="14" borderId="0" xfId="0" applyFont="1" applyFill="1" applyAlignment="1">
      <alignment horizontal="center" vertical="center"/>
    </xf>
    <xf numFmtId="0" fontId="137" fillId="8" borderId="0" xfId="0" applyFont="1" applyFill="1" applyAlignment="1">
      <alignment horizontal="center" vertical="center"/>
    </xf>
    <xf numFmtId="0" fontId="137" fillId="9" borderId="0" xfId="0" applyFont="1" applyFill="1" applyAlignment="1">
      <alignment horizontal="center" vertical="center"/>
    </xf>
    <xf numFmtId="164" fontId="138" fillId="12" borderId="0" xfId="0" applyNumberFormat="1" applyFont="1" applyFill="1"/>
    <xf numFmtId="0" fontId="138" fillId="12" borderId="0" xfId="0" applyFont="1" applyFill="1" applyAlignment="1">
      <alignment horizontal="center" vertical="center" wrapText="1"/>
    </xf>
    <xf numFmtId="0" fontId="138" fillId="12" borderId="0" xfId="0" applyFont="1" applyFill="1" applyAlignment="1">
      <alignment vertical="center" wrapText="1"/>
    </xf>
    <xf numFmtId="0" fontId="137" fillId="14" borderId="0" xfId="0" applyFont="1" applyFill="1" applyAlignment="1">
      <alignment horizontal="center" vertical="center" wrapText="1"/>
    </xf>
    <xf numFmtId="0" fontId="137" fillId="8" borderId="0" xfId="0" applyFont="1" applyFill="1" applyAlignment="1">
      <alignment horizontal="center" vertical="center" wrapText="1"/>
    </xf>
    <xf numFmtId="164" fontId="137" fillId="14" borderId="0" xfId="0" applyNumberFormat="1" applyFont="1" applyFill="1" applyAlignment="1">
      <alignment horizontal="center" vertical="center" wrapText="1"/>
    </xf>
    <xf numFmtId="164" fontId="137" fillId="36" borderId="0" xfId="0" applyNumberFormat="1" applyFont="1" applyFill="1" applyAlignment="1">
      <alignment horizontal="center" vertical="center" wrapText="1"/>
    </xf>
    <xf numFmtId="0" fontId="137" fillId="36" borderId="0" xfId="0" applyFont="1" applyFill="1" applyAlignment="1">
      <alignment horizontal="center" vertical="center" wrapText="1"/>
    </xf>
    <xf numFmtId="164" fontId="137" fillId="8" borderId="0" xfId="0" applyNumberFormat="1" applyFont="1" applyFill="1" applyAlignment="1">
      <alignment horizontal="right" vertical="center"/>
    </xf>
    <xf numFmtId="0" fontId="139" fillId="0" borderId="0" xfId="0" pivotButton="1" applyFont="1"/>
    <xf numFmtId="0" fontId="139" fillId="0" borderId="0" xfId="0" applyFont="1"/>
    <xf numFmtId="0" fontId="139" fillId="0" borderId="0" xfId="0" pivotButton="1" applyFont="1" applyAlignment="1">
      <alignment wrapText="1"/>
    </xf>
    <xf numFmtId="0" fontId="140" fillId="29" borderId="0" xfId="0" applyFont="1" applyFill="1"/>
    <xf numFmtId="0" fontId="139" fillId="0" borderId="0" xfId="0" applyFont="1" applyAlignment="1">
      <alignment horizontal="left"/>
    </xf>
    <xf numFmtId="0" fontId="139" fillId="0" borderId="0" xfId="0" applyNumberFormat="1" applyFont="1"/>
    <xf numFmtId="164" fontId="139" fillId="0" borderId="0" xfId="0" applyNumberFormat="1" applyFont="1"/>
    <xf numFmtId="0" fontId="139" fillId="0" borderId="0" xfId="0" pivotButton="1" applyFont="1" applyAlignment="1">
      <alignment horizontal="center" wrapText="1"/>
    </xf>
    <xf numFmtId="9" fontId="139" fillId="0" borderId="0" xfId="0" applyNumberFormat="1" applyFont="1"/>
    <xf numFmtId="0" fontId="140" fillId="29" borderId="0" xfId="0" applyFont="1" applyFill="1" applyAlignment="1">
      <alignment horizontal="left" vertical="center" wrapText="1"/>
    </xf>
    <xf numFmtId="0" fontId="139" fillId="0" borderId="0" xfId="0" applyFont="1" applyAlignment="1">
      <alignment wrapText="1"/>
    </xf>
    <xf numFmtId="0" fontId="140" fillId="40" borderId="0" xfId="0" applyFont="1" applyFill="1"/>
    <xf numFmtId="3" fontId="139" fillId="0" borderId="0" xfId="0" applyNumberFormat="1" applyFont="1"/>
    <xf numFmtId="1" fontId="139" fillId="0" borderId="0" xfId="0" applyNumberFormat="1" applyFont="1"/>
    <xf numFmtId="0" fontId="139" fillId="0" borderId="0" xfId="0" pivotButton="1" applyFont="1" applyAlignment="1">
      <alignment horizontal="center" vertical="center" wrapText="1"/>
    </xf>
    <xf numFmtId="0" fontId="140" fillId="40" borderId="0" xfId="0" applyFont="1" applyFill="1" applyAlignment="1"/>
    <xf numFmtId="0" fontId="140" fillId="40" borderId="0" xfId="0" applyFont="1" applyFill="1" applyAlignment="1">
      <alignment wrapText="1"/>
    </xf>
    <xf numFmtId="9" fontId="139" fillId="0" borderId="0" xfId="0" pivotButton="1" applyNumberFormat="1" applyFont="1"/>
    <xf numFmtId="0" fontId="136" fillId="0" borderId="0" xfId="0" pivotButton="1" applyFont="1" applyAlignment="1">
      <alignment horizontal="center" vertical="center" wrapText="1"/>
    </xf>
    <xf numFmtId="164" fontId="3" fillId="0" borderId="59" xfId="4" applyNumberFormat="1" applyFont="1" applyBorder="1"/>
    <xf numFmtId="0" fontId="78" fillId="0" borderId="0" xfId="0" applyFont="1" applyFill="1"/>
    <xf numFmtId="166" fontId="29" fillId="15" borderId="5" xfId="8" applyFont="1" applyFill="1" applyBorder="1" applyAlignment="1">
      <alignment horizontal="center" vertical="center"/>
    </xf>
    <xf numFmtId="166" fontId="29" fillId="15" borderId="6" xfId="8" applyFont="1" applyFill="1" applyBorder="1" applyAlignment="1">
      <alignment horizontal="center" vertical="center"/>
    </xf>
    <xf numFmtId="166" fontId="29" fillId="15" borderId="7" xfId="8" applyFont="1" applyFill="1" applyBorder="1" applyAlignment="1">
      <alignment horizontal="center" vertical="center"/>
    </xf>
    <xf numFmtId="166" fontId="6" fillId="20" borderId="0" xfId="8" applyFont="1" applyFill="1" applyBorder="1" applyAlignment="1">
      <alignment horizontal="left" wrapText="1"/>
    </xf>
    <xf numFmtId="166" fontId="13" fillId="20" borderId="0" xfId="8" applyFill="1" applyBorder="1" applyAlignment="1">
      <alignment horizontal="left" wrapText="1"/>
    </xf>
    <xf numFmtId="166" fontId="13" fillId="20" borderId="9" xfId="8" applyFill="1" applyBorder="1" applyAlignment="1">
      <alignment horizontal="left" wrapText="1"/>
    </xf>
    <xf numFmtId="0" fontId="27" fillId="8" borderId="87" xfId="0" applyFont="1" applyFill="1" applyBorder="1" applyAlignment="1">
      <alignment horizontal="center" vertical="center" wrapText="1"/>
    </xf>
    <xf numFmtId="0" fontId="27" fillId="8" borderId="93" xfId="0" applyFont="1" applyFill="1" applyBorder="1" applyAlignment="1">
      <alignment horizontal="center" vertical="center" wrapText="1"/>
    </xf>
    <xf numFmtId="0" fontId="27" fillId="8" borderId="98" xfId="0" applyFont="1" applyFill="1" applyBorder="1" applyAlignment="1">
      <alignment horizontal="center" vertical="center" wrapText="1"/>
    </xf>
    <xf numFmtId="0" fontId="27" fillId="8" borderId="99" xfId="0" applyFont="1" applyFill="1" applyBorder="1" applyAlignment="1">
      <alignment horizontal="center" vertical="center" wrapText="1"/>
    </xf>
    <xf numFmtId="0" fontId="27" fillId="8" borderId="100" xfId="0" applyFont="1" applyFill="1" applyBorder="1" applyAlignment="1">
      <alignment horizontal="center" vertical="center" wrapText="1"/>
    </xf>
    <xf numFmtId="0" fontId="27" fillId="8" borderId="101" xfId="0" applyFont="1" applyFill="1" applyBorder="1" applyAlignment="1">
      <alignment horizontal="center" vertical="center" wrapText="1"/>
    </xf>
    <xf numFmtId="0" fontId="27" fillId="5" borderId="102" xfId="0" applyFont="1" applyFill="1" applyBorder="1" applyAlignment="1">
      <alignment horizontal="center" vertical="center"/>
    </xf>
    <xf numFmtId="0" fontId="27" fillId="5" borderId="103" xfId="0" applyFont="1" applyFill="1" applyBorder="1" applyAlignment="1">
      <alignment horizontal="center" vertical="center"/>
    </xf>
    <xf numFmtId="0" fontId="27" fillId="8" borderId="86" xfId="0" applyFont="1" applyFill="1" applyBorder="1" applyAlignment="1">
      <alignment horizontal="center" vertical="center" wrapText="1"/>
    </xf>
    <xf numFmtId="0" fontId="27" fillId="5" borderId="108" xfId="0" applyFont="1" applyFill="1" applyBorder="1" applyAlignment="1">
      <alignment horizontal="center" vertical="center" wrapText="1"/>
    </xf>
    <xf numFmtId="0" fontId="27" fillId="5" borderId="109" xfId="0" applyFont="1" applyFill="1" applyBorder="1" applyAlignment="1">
      <alignment horizontal="center" vertical="center" wrapText="1"/>
    </xf>
    <xf numFmtId="0" fontId="27" fillId="5" borderId="100" xfId="0" applyFont="1" applyFill="1" applyBorder="1" applyAlignment="1">
      <alignment horizontal="center" vertical="center" wrapText="1"/>
    </xf>
    <xf numFmtId="0" fontId="27" fillId="5" borderId="101" xfId="0" applyFont="1" applyFill="1" applyBorder="1" applyAlignment="1">
      <alignment horizontal="center" vertical="center" wrapText="1"/>
    </xf>
    <xf numFmtId="0" fontId="27" fillId="5" borderId="108" xfId="0" applyFont="1" applyFill="1" applyBorder="1" applyAlignment="1">
      <alignment horizontal="center" vertical="center"/>
    </xf>
    <xf numFmtId="0" fontId="27" fillId="5" borderId="109" xfId="0" applyFont="1" applyFill="1" applyBorder="1" applyAlignment="1">
      <alignment horizontal="center" vertical="center"/>
    </xf>
    <xf numFmtId="0" fontId="27" fillId="5" borderId="93" xfId="0" applyFont="1" applyFill="1" applyBorder="1" applyAlignment="1">
      <alignment horizontal="center" vertical="center" wrapText="1"/>
    </xf>
    <xf numFmtId="0" fontId="27" fillId="5" borderId="88" xfId="0" applyFont="1" applyFill="1" applyBorder="1" applyAlignment="1">
      <alignment horizontal="center" vertical="center" wrapText="1"/>
    </xf>
    <xf numFmtId="0" fontId="27" fillId="5" borderId="86" xfId="0" applyFont="1" applyFill="1" applyBorder="1" applyAlignment="1">
      <alignment horizontal="center" vertical="center" wrapText="1"/>
    </xf>
    <xf numFmtId="0" fontId="27" fillId="5" borderId="89" xfId="0" applyFont="1" applyFill="1" applyBorder="1" applyAlignment="1">
      <alignment horizontal="center" vertical="center" wrapText="1"/>
    </xf>
    <xf numFmtId="0" fontId="16" fillId="44" borderId="82" xfId="22" applyNumberFormat="1" applyFont="1" applyFill="1" applyBorder="1" applyAlignment="1">
      <alignment horizontal="center" vertical="center"/>
    </xf>
    <xf numFmtId="0" fontId="16" fillId="44" borderId="78" xfId="22" applyNumberFormat="1" applyFont="1" applyFill="1" applyBorder="1" applyAlignment="1">
      <alignment horizontal="center" vertical="center"/>
    </xf>
    <xf numFmtId="0" fontId="27" fillId="5" borderId="115" xfId="0" applyFont="1" applyFill="1" applyBorder="1" applyAlignment="1">
      <alignment horizontal="center" vertical="center"/>
    </xf>
    <xf numFmtId="0" fontId="27" fillId="5" borderId="116" xfId="0" applyFont="1" applyFill="1" applyBorder="1" applyAlignment="1">
      <alignment horizontal="center" vertical="center"/>
    </xf>
    <xf numFmtId="0" fontId="27" fillId="5" borderId="117" xfId="0" applyFont="1" applyFill="1" applyBorder="1" applyAlignment="1">
      <alignment horizontal="center" vertical="center"/>
    </xf>
    <xf numFmtId="0" fontId="27" fillId="5" borderId="88" xfId="0" applyFont="1" applyFill="1" applyBorder="1" applyAlignment="1">
      <alignment horizontal="center" vertical="center"/>
    </xf>
    <xf numFmtId="0" fontId="27" fillId="5" borderId="86" xfId="0" applyFont="1" applyFill="1" applyBorder="1" applyAlignment="1">
      <alignment horizontal="center" vertical="center"/>
    </xf>
    <xf numFmtId="0" fontId="27" fillId="5" borderId="89" xfId="0" applyFont="1" applyFill="1" applyBorder="1" applyAlignment="1">
      <alignment horizontal="center" vertical="center"/>
    </xf>
    <xf numFmtId="0" fontId="32" fillId="5" borderId="93" xfId="0" applyFont="1" applyFill="1" applyBorder="1" applyAlignment="1">
      <alignment horizontal="center" vertical="center" wrapText="1"/>
    </xf>
    <xf numFmtId="0" fontId="27" fillId="5" borderId="94" xfId="0" applyFont="1" applyFill="1" applyBorder="1" applyAlignment="1">
      <alignment horizontal="center" vertical="center" wrapText="1"/>
    </xf>
    <xf numFmtId="0" fontId="27" fillId="5" borderId="95" xfId="0" applyFont="1" applyFill="1" applyBorder="1" applyAlignment="1">
      <alignment horizontal="center" vertical="center" wrapText="1"/>
    </xf>
    <xf numFmtId="0" fontId="27" fillId="5" borderId="96" xfId="0" applyFont="1" applyFill="1" applyBorder="1" applyAlignment="1">
      <alignment horizontal="center" vertical="center" wrapText="1"/>
    </xf>
    <xf numFmtId="0" fontId="27" fillId="5" borderId="97" xfId="0" applyFont="1" applyFill="1" applyBorder="1" applyAlignment="1">
      <alignment horizontal="center" vertical="center" wrapText="1"/>
    </xf>
    <xf numFmtId="0" fontId="101" fillId="0" borderId="0" xfId="19" applyFont="1" applyAlignment="1">
      <alignment horizontal="left" vertical="center"/>
    </xf>
    <xf numFmtId="0" fontId="103" fillId="0" borderId="0" xfId="19" applyFont="1" applyAlignment="1">
      <alignment horizontal="left" vertical="center"/>
    </xf>
    <xf numFmtId="0" fontId="67" fillId="0" borderId="126" xfId="0" applyFont="1" applyBorder="1" applyAlignment="1">
      <alignment horizontal="center" vertical="center" wrapText="1"/>
    </xf>
    <xf numFmtId="0" fontId="67" fillId="0" borderId="127" xfId="0" applyFont="1" applyBorder="1" applyAlignment="1">
      <alignment horizontal="center" vertical="center" wrapText="1"/>
    </xf>
    <xf numFmtId="0" fontId="60" fillId="2" borderId="62" xfId="0" applyFont="1" applyFill="1" applyBorder="1" applyAlignment="1">
      <alignment horizontal="center"/>
    </xf>
    <xf numFmtId="0" fontId="60" fillId="2" borderId="63" xfId="0" applyFont="1" applyFill="1" applyBorder="1" applyAlignment="1">
      <alignment horizontal="center"/>
    </xf>
    <xf numFmtId="0" fontId="65" fillId="14" borderId="64" xfId="0" applyFont="1" applyFill="1" applyBorder="1" applyAlignment="1">
      <alignment horizontal="center" vertical="top" wrapText="1"/>
    </xf>
    <xf numFmtId="0" fontId="65" fillId="14" borderId="65" xfId="0" applyFont="1" applyFill="1" applyBorder="1" applyAlignment="1">
      <alignment horizontal="center" vertical="top" wrapText="1"/>
    </xf>
    <xf numFmtId="0" fontId="65" fillId="8" borderId="66" xfId="0" applyFont="1" applyFill="1" applyBorder="1" applyAlignment="1">
      <alignment horizontal="center" vertical="top" wrapText="1"/>
    </xf>
    <xf numFmtId="0" fontId="65" fillId="8" borderId="63" xfId="0" applyFont="1" applyFill="1" applyBorder="1" applyAlignment="1">
      <alignment horizontal="center" vertical="top" wrapText="1"/>
    </xf>
    <xf numFmtId="0" fontId="65" fillId="9" borderId="66" xfId="0" applyFont="1" applyFill="1" applyBorder="1" applyAlignment="1">
      <alignment horizontal="center" vertical="top" wrapText="1"/>
    </xf>
    <xf numFmtId="0" fontId="65" fillId="9" borderId="63" xfId="0" applyFont="1" applyFill="1" applyBorder="1" applyAlignment="1">
      <alignment horizontal="center" vertical="top" wrapText="1"/>
    </xf>
    <xf numFmtId="0" fontId="59" fillId="0" borderId="0" xfId="0" applyFont="1" applyFill="1" applyBorder="1" applyAlignment="1">
      <alignment horizontal="center" vertical="center"/>
    </xf>
    <xf numFmtId="0" fontId="128" fillId="45" borderId="124" xfId="0" applyFont="1" applyFill="1" applyBorder="1" applyAlignment="1">
      <alignment horizontal="center" vertical="center" wrapText="1"/>
    </xf>
    <xf numFmtId="0" fontId="128" fillId="45" borderId="0" xfId="0" applyFont="1" applyFill="1" applyBorder="1" applyAlignment="1">
      <alignment horizontal="center" vertical="center" wrapText="1"/>
    </xf>
    <xf numFmtId="0" fontId="65" fillId="14" borderId="121" xfId="0" applyFont="1" applyFill="1" applyBorder="1" applyAlignment="1">
      <alignment horizontal="center" vertical="center" wrapText="1"/>
    </xf>
    <xf numFmtId="0" fontId="65" fillId="14" borderId="122" xfId="0" applyFont="1" applyFill="1" applyBorder="1" applyAlignment="1">
      <alignment horizontal="center" vertical="center" wrapText="1"/>
    </xf>
    <xf numFmtId="0" fontId="65" fillId="14" borderId="123" xfId="0" applyFont="1" applyFill="1" applyBorder="1" applyAlignment="1">
      <alignment horizontal="center" vertical="center" wrapText="1"/>
    </xf>
    <xf numFmtId="0" fontId="113" fillId="12" borderId="121" xfId="0" applyFont="1" applyFill="1" applyBorder="1" applyAlignment="1">
      <alignment horizontal="center" vertical="top" wrapText="1"/>
    </xf>
    <xf numFmtId="0" fontId="113" fillId="12" borderId="122" xfId="0" applyFont="1" applyFill="1" applyBorder="1" applyAlignment="1">
      <alignment horizontal="center" vertical="top" wrapText="1"/>
    </xf>
    <xf numFmtId="0" fontId="113" fillId="12" borderId="123" xfId="0" applyFont="1" applyFill="1" applyBorder="1" applyAlignment="1">
      <alignment horizontal="center" vertical="top" wrapText="1"/>
    </xf>
    <xf numFmtId="0" fontId="65" fillId="36" borderId="121" xfId="0" applyFont="1" applyFill="1" applyBorder="1" applyAlignment="1">
      <alignment horizontal="center" vertical="top" wrapText="1"/>
    </xf>
    <xf numFmtId="0" fontId="65" fillId="36" borderId="122" xfId="0" applyFont="1" applyFill="1" applyBorder="1" applyAlignment="1">
      <alignment horizontal="center" vertical="top" wrapText="1"/>
    </xf>
    <xf numFmtId="0" fontId="65" fillId="36" borderId="123" xfId="0" applyFont="1" applyFill="1" applyBorder="1" applyAlignment="1">
      <alignment horizontal="center" vertical="top" wrapText="1"/>
    </xf>
    <xf numFmtId="0" fontId="65" fillId="8" borderId="121" xfId="0" applyFont="1" applyFill="1" applyBorder="1" applyAlignment="1">
      <alignment horizontal="center" vertical="top" wrapText="1"/>
    </xf>
    <xf numFmtId="0" fontId="65" fillId="8" borderId="122" xfId="0" applyFont="1" applyFill="1" applyBorder="1" applyAlignment="1">
      <alignment horizontal="center" vertical="top" wrapText="1"/>
    </xf>
    <xf numFmtId="0" fontId="65" fillId="8" borderId="123" xfId="0" applyFont="1" applyFill="1" applyBorder="1" applyAlignment="1">
      <alignment horizontal="center" vertical="top" wrapText="1"/>
    </xf>
    <xf numFmtId="0" fontId="113" fillId="12" borderId="128" xfId="0" applyFont="1" applyFill="1" applyBorder="1" applyAlignment="1">
      <alignment horizontal="center" vertical="top" wrapText="1"/>
    </xf>
    <xf numFmtId="0" fontId="4" fillId="0" borderId="0" xfId="0" applyFont="1" applyAlignment="1">
      <alignment horizontal="center"/>
    </xf>
    <xf numFmtId="0" fontId="9" fillId="0" borderId="0" xfId="0" applyFont="1" applyAlignment="1">
      <alignment horizontal="center"/>
    </xf>
    <xf numFmtId="0" fontId="84" fillId="41" borderId="0" xfId="0" applyFont="1" applyFill="1" applyAlignment="1">
      <alignment horizontal="center" vertical="center"/>
    </xf>
    <xf numFmtId="0" fontId="71" fillId="26" borderId="0" xfId="0" applyFont="1" applyFill="1" applyAlignment="1">
      <alignment horizontal="center" vertical="center" wrapText="1"/>
    </xf>
    <xf numFmtId="164" fontId="70" fillId="15" borderId="0" xfId="4" applyNumberFormat="1" applyFont="1" applyFill="1" applyAlignment="1">
      <alignment horizontal="center" vertical="center" wrapText="1"/>
    </xf>
    <xf numFmtId="0" fontId="141" fillId="0" borderId="0" xfId="0" applyFont="1"/>
  </cellXfs>
  <cellStyles count="43">
    <cellStyle name="Bad 2" xfId="24" xr:uid="{00000000-0005-0000-0000-000000000000}"/>
    <cellStyle name="Comma" xfId="4" builtinId="3"/>
    <cellStyle name="Comma 2" xfId="7" xr:uid="{00000000-0005-0000-0000-000002000000}"/>
    <cellStyle name="Comma 2 2" xfId="17" xr:uid="{00000000-0005-0000-0000-000003000000}"/>
    <cellStyle name="Comma 2 2 2" xfId="32" xr:uid="{00000000-0005-0000-0000-000003000000}"/>
    <cellStyle name="Comma 2 2 3" xfId="41" xr:uid="{00000000-0005-0000-0000-000003000000}"/>
    <cellStyle name="Comma 2 3" xfId="27" xr:uid="{00000000-0005-0000-0000-000002000000}"/>
    <cellStyle name="Comma 2 4" xfId="36" xr:uid="{00000000-0005-0000-0000-000001000000}"/>
    <cellStyle name="Comma 4" xfId="5" xr:uid="{00000000-0005-0000-0000-000004000000}"/>
    <cellStyle name="Good 2" xfId="23" xr:uid="{00000000-0005-0000-0000-000005000000}"/>
    <cellStyle name="Heading 1 2" xfId="13" xr:uid="{00000000-0005-0000-0000-000006000000}"/>
    <cellStyle name="Normal" xfId="0" builtinId="0"/>
    <cellStyle name="Normal 2" xfId="8" xr:uid="{00000000-0005-0000-0000-000008000000}"/>
    <cellStyle name="Normal 2 2" xfId="14" xr:uid="{00000000-0005-0000-0000-000009000000}"/>
    <cellStyle name="Normal 2 2 2" xfId="29" xr:uid="{00000000-0005-0000-0000-000009000000}"/>
    <cellStyle name="Normal 2 2 3" xfId="38" xr:uid="{00000000-0005-0000-0000-00001F000000}"/>
    <cellStyle name="Normal 2 3" xfId="18" xr:uid="{00000000-0005-0000-0000-00000A000000}"/>
    <cellStyle name="Normal 2 3 2" xfId="33" xr:uid="{00000000-0005-0000-0000-00000A000000}"/>
    <cellStyle name="Normal 2 3 3" xfId="42" xr:uid="{00000000-0005-0000-0000-000020000000}"/>
    <cellStyle name="Normal 2 4" xfId="22" xr:uid="{00000000-0005-0000-0000-00000B000000}"/>
    <cellStyle name="Normal 2 5" xfId="28" xr:uid="{00000000-0005-0000-0000-000008000000}"/>
    <cellStyle name="Normal 2 6" xfId="37" xr:uid="{00000000-0005-0000-0000-000005000000}"/>
    <cellStyle name="Normal 3" xfId="11" xr:uid="{00000000-0005-0000-0000-00000C000000}"/>
    <cellStyle name="Normal 3 2" xfId="19" xr:uid="{00000000-0005-0000-0000-00000D000000}"/>
    <cellStyle name="Normal 4" xfId="2" xr:uid="{00000000-0005-0000-0000-00000E000000}"/>
    <cellStyle name="Normal 4 2" xfId="15" xr:uid="{00000000-0005-0000-0000-00000F000000}"/>
    <cellStyle name="Normal 4 2 2" xfId="30" xr:uid="{00000000-0005-0000-0000-00000F000000}"/>
    <cellStyle name="Normal 4 2 3" xfId="39" xr:uid="{00000000-0005-0000-0000-000025000000}"/>
    <cellStyle name="Normal 4 3" xfId="25" xr:uid="{00000000-0005-0000-0000-00000E000000}"/>
    <cellStyle name="Normal 4 4" xfId="34" xr:uid="{00000000-0005-0000-0000-000006000000}"/>
    <cellStyle name="Normal_Sheet1" xfId="9" xr:uid="{00000000-0005-0000-0000-000010000000}"/>
    <cellStyle name="Normal_Sheet3_1" xfId="21" xr:uid="{00000000-0005-0000-0000-000011000000}"/>
    <cellStyle name="Normal_Township" xfId="10" xr:uid="{00000000-0005-0000-0000-000012000000}"/>
    <cellStyle name="Percent" xfId="1" builtinId="5"/>
    <cellStyle name="Percent 2" xfId="3" xr:uid="{00000000-0005-0000-0000-000014000000}"/>
    <cellStyle name="Percent 2 2" xfId="6" xr:uid="{00000000-0005-0000-0000-000015000000}"/>
    <cellStyle name="Percent 2 3" xfId="16" xr:uid="{00000000-0005-0000-0000-000016000000}"/>
    <cellStyle name="Percent 2 3 2" xfId="31" xr:uid="{00000000-0005-0000-0000-000016000000}"/>
    <cellStyle name="Percent 2 3 3" xfId="40" xr:uid="{00000000-0005-0000-0000-00002C000000}"/>
    <cellStyle name="Percent 2 4" xfId="26" xr:uid="{00000000-0005-0000-0000-000014000000}"/>
    <cellStyle name="Percent 2 5" xfId="35" xr:uid="{00000000-0005-0000-0000-000008000000}"/>
    <cellStyle name="Percent 3" xfId="12" xr:uid="{00000000-0005-0000-0000-000017000000}"/>
    <cellStyle name="Percent 3 2" xfId="20" xr:uid="{00000000-0005-0000-0000-000018000000}"/>
  </cellStyles>
  <dxfs count="912">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dxf>
    <dxf>
      <border outline="0">
        <bottom style="thin">
          <color theme="4" tint="0.39997558519241921"/>
        </bottom>
      </border>
    </dxf>
    <dxf>
      <font>
        <b val="0"/>
        <i val="0"/>
        <strike val="0"/>
        <condense val="0"/>
        <extend val="0"/>
        <outline val="0"/>
        <shadow val="0"/>
        <u val="none"/>
        <vertAlign val="baseline"/>
        <sz val="10"/>
        <color theme="1"/>
        <name val="Corbel"/>
        <scheme val="none"/>
      </font>
      <fill>
        <patternFill patternType="none">
          <fgColor indexed="64"/>
          <bgColor indexed="65"/>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font>
        <b val="0"/>
        <i val="0"/>
        <strike val="0"/>
        <condense val="0"/>
        <extend val="0"/>
        <outline val="0"/>
        <shadow val="0"/>
        <u val="none"/>
        <vertAlign val="baseline"/>
        <sz val="12"/>
        <color theme="1"/>
        <name val="Calibri"/>
        <family val="2"/>
        <scheme val="minor"/>
      </font>
      <border diagonalUp="0" diagonalDown="0" outline="0">
        <left style="thin">
          <color theme="4"/>
        </left>
        <right/>
        <top style="thin">
          <color theme="4"/>
        </top>
        <bottom style="thin">
          <color theme="4"/>
        </bottom>
      </border>
    </dxf>
    <dxf>
      <font>
        <b val="0"/>
        <i val="0"/>
        <strike val="0"/>
        <condense val="0"/>
        <extend val="0"/>
        <outline val="0"/>
        <shadow val="0"/>
        <u val="none"/>
        <vertAlign val="baseline"/>
        <sz val="12"/>
        <color theme="1"/>
        <name val="Calibri"/>
        <family val="2"/>
        <scheme val="minor"/>
      </font>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2"/>
        <color theme="1"/>
        <name val="Calibri"/>
        <family val="2"/>
        <scheme val="minor"/>
      </font>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2"/>
        <color theme="1"/>
        <name val="Calibri"/>
        <family val="2"/>
        <scheme val="minor"/>
      </font>
      <numFmt numFmtId="164" formatCode="_(* #,##0_);_(* \(#,##0\);_(* &quot;-&quot;??_);_(@_)"/>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2"/>
        <color theme="1"/>
        <name val="Calibri"/>
        <family val="2"/>
        <scheme val="minor"/>
      </font>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2"/>
        <color theme="1"/>
        <name val="Calibri"/>
        <family val="2"/>
        <scheme val="minor"/>
      </font>
      <border diagonalUp="0" diagonalDown="0" outline="0">
        <left/>
        <right style="thin">
          <color theme="4"/>
        </right>
        <top style="thin">
          <color theme="4"/>
        </top>
        <bottom style="thin">
          <color theme="4"/>
        </bottom>
      </border>
    </dxf>
    <dxf>
      <border>
        <top style="thin">
          <color rgb="FF5B9BD5"/>
        </top>
      </border>
    </dxf>
    <dxf>
      <border diagonalUp="0" diagonalDown="0">
        <left/>
        <right/>
        <top/>
        <bottom/>
      </border>
    </dxf>
    <dxf>
      <font>
        <b val="0"/>
        <i val="0"/>
        <strike val="0"/>
        <condense val="0"/>
        <extend val="0"/>
        <outline val="0"/>
        <shadow val="0"/>
        <u val="none"/>
        <vertAlign val="baseline"/>
        <sz val="12"/>
        <color theme="1"/>
        <name val="Calibri"/>
        <family val="2"/>
        <scheme val="minor"/>
      </font>
    </dxf>
    <dxf>
      <border>
        <bottom style="thin">
          <color rgb="FF5B9BD5"/>
        </bottom>
      </border>
    </dxf>
    <dxf>
      <font>
        <b val="0"/>
        <i val="0"/>
        <strike val="0"/>
        <condense val="0"/>
        <extend val="0"/>
        <outline val="0"/>
        <shadow val="0"/>
        <u val="none"/>
        <vertAlign val="baseline"/>
        <sz val="11"/>
        <color theme="1"/>
        <name val="Calibri"/>
        <family val="2"/>
        <scheme val="minor"/>
      </font>
      <border diagonalUp="0" diagonalDown="0" outline="0">
        <left style="thin">
          <color theme="4"/>
        </left>
        <right style="thin">
          <color theme="4"/>
        </right>
        <top/>
        <bottom/>
      </border>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vertical="bottom"/>
    </dxf>
    <dxf>
      <alignment horizontal="center"/>
    </dxf>
    <dxf>
      <alignment wrapText="1"/>
    </dxf>
    <dxf>
      <numFmt numFmtId="164" formatCode="_(* #,##0_);_(* \(#,##0\);_(* &quot;-&quot;??_);_(@_)"/>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color theme="0"/>
      </font>
      <fill>
        <patternFill patternType="solid">
          <fgColor indexed="64"/>
          <bgColor rgb="FF002060"/>
        </patternFill>
      </fill>
      <alignment wrapText="1"/>
    </dxf>
    <dxf>
      <font>
        <b/>
        <color theme="0"/>
      </font>
      <fill>
        <patternFill patternType="solid">
          <fgColor indexed="64"/>
          <bgColor rgb="FF002060"/>
        </patternFill>
      </fill>
      <alignment wrapText="1" readingOrder="0"/>
    </dxf>
    <dxf>
      <font>
        <b/>
        <color theme="0"/>
      </font>
      <fill>
        <patternFill patternType="solid">
          <fgColor indexed="64"/>
          <bgColor rgb="FF002060"/>
        </patternFill>
      </fill>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alignment wrapText="1"/>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alignment horizontal="general" vertical="bottom" textRotation="0" wrapText="0" indent="0" justifyLastLine="0" shrinkToFit="0" readingOrder="0"/>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numFmt numFmtId="13" formatCode="0%"/>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numFmt numFmtId="164" formatCode="_(* #,##0_);_(* \(#,##0\);_(* &quot;-&quot;??_);_(@_)"/>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numFmt numFmtId="13" formatCode="0%"/>
    </dxf>
    <dxf>
      <numFmt numFmtId="13" formatCode="0%"/>
    </dxf>
    <dxf>
      <numFmt numFmtId="13" formatCode="0%"/>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numFmt numFmtId="1" formatCode="0"/>
    </dxf>
    <dxf>
      <numFmt numFmtId="1" formatCode="0"/>
    </dxf>
    <dxf>
      <alignment wrapText="1"/>
    </dxf>
    <dxf>
      <font>
        <sz val="10"/>
      </font>
    </dxf>
    <dxf>
      <font>
        <name val="Calibri"/>
        <scheme val="minor"/>
      </font>
    </dxf>
    <dxf>
      <font>
        <name val="Calibri"/>
        <scheme val="minor"/>
      </font>
    </dxf>
    <dxf>
      <numFmt numFmtId="13"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0"/>
      </font>
    </dxf>
    <dxf>
      <font>
        <name val="Calibri"/>
        <scheme val="minor"/>
      </font>
    </dxf>
    <dxf>
      <font>
        <name val="Calibri"/>
        <scheme val="minor"/>
      </font>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 #,##0_);_(* \(#,##0\);_(* &quot;-&quot;??_);_(@_)"/>
    </dxf>
    <dxf>
      <numFmt numFmtId="164" formatCode="_(* #,##0_);_(* \(#,##0\);_(* &quot;-&quot;??_);_(@_)"/>
    </dxf>
    <dxf>
      <numFmt numFmtId="13" formatCode="0%"/>
    </dxf>
    <dxf>
      <numFmt numFmtId="13" formatCode="0%"/>
    </dxf>
    <dxf>
      <numFmt numFmtId="13" formatCode="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 #,##0_);_(* \(#,##0\);_(* &quot;-&quot;??_);_(@_)"/>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alignment wrapText="1"/>
    </dxf>
    <dxf>
      <font>
        <sz val="11"/>
      </font>
    </dxf>
    <dxf>
      <font>
        <sz val="11"/>
      </font>
    </dxf>
    <dxf>
      <font>
        <sz val="11"/>
      </font>
    </dxf>
    <dxf>
      <font>
        <sz val="11"/>
      </font>
    </dxf>
    <dxf>
      <font>
        <sz val="11"/>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alignment wrapText="1"/>
    </dxf>
    <dxf>
      <font>
        <b/>
        <color theme="0"/>
      </font>
      <fill>
        <patternFill patternType="solid">
          <fgColor indexed="64"/>
          <bgColor rgb="FF002060"/>
        </patternFill>
      </fill>
    </dxf>
    <dxf>
      <font>
        <b/>
        <color theme="0"/>
      </font>
      <fill>
        <patternFill patternType="solid">
          <fgColor indexed="64"/>
          <bgColor rgb="FF002060"/>
        </patternFill>
      </fill>
      <alignment horizontal="general" vertical="bottom" textRotation="0" wrapText="0" indent="0" justifyLastLine="0" shrinkToFit="0" readingOrder="0"/>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color theme="0"/>
      </font>
      <fill>
        <patternFill patternType="solid">
          <fgColor indexed="64"/>
          <bgColor theme="3" tint="-0.499984740745262"/>
        </patternFill>
      </fill>
    </dxf>
    <dxf>
      <numFmt numFmtId="13" formatCode="0%"/>
    </dxf>
    <dxf>
      <numFmt numFmtId="13" formatCode="0%"/>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font>
        <sz val="11"/>
      </font>
    </dxf>
    <dxf>
      <font>
        <sz val="11"/>
      </font>
    </dxf>
    <dxf>
      <font>
        <sz val="11"/>
      </font>
    </dxf>
    <dxf>
      <alignment wrapText="1"/>
    </dxf>
    <dxf>
      <alignment wrapText="1"/>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alignment wrapText="1"/>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numFmt numFmtId="164" formatCode="_(* #,##0_);_(* \(#,##0\);_(* &quot;-&quot;??_);_(@_)"/>
    </dxf>
    <dxf>
      <numFmt numFmtId="13" formatCode="0%"/>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numFmt numFmtId="3" formatCode="#,##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numFmt numFmtId="13" formatCode="0%"/>
    </dxf>
    <dxf>
      <alignment vertical="bottom"/>
    </dxf>
    <dxf>
      <alignment horizontal="center"/>
    </dxf>
    <dxf>
      <alignment wrapText="1"/>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color theme="0"/>
      </font>
      <fill>
        <patternFill patternType="solid">
          <fgColor indexed="64"/>
          <bgColor rgb="FF002060"/>
        </patternFill>
      </fill>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3" formatCode="0%"/>
    </dxf>
    <dxf>
      <numFmt numFmtId="14" formatCode="0.00%"/>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sz val="11"/>
      </font>
    </dxf>
    <dxf>
      <font>
        <sz val="11"/>
      </font>
    </dxf>
    <dxf>
      <font>
        <sz val="11"/>
      </font>
    </dxf>
    <dxf>
      <font>
        <sz val="11"/>
      </font>
    </dxf>
    <dxf>
      <font>
        <sz val="11"/>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alignment wrapText="1"/>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font>
        <sz val="11"/>
      </font>
    </dxf>
    <dxf>
      <font>
        <sz val="11"/>
      </font>
    </dxf>
    <dxf>
      <alignment wrapText="1"/>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alignment wrapText="1"/>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dxf>
    <dxf>
      <font>
        <color auto="1"/>
      </font>
    </dxf>
    <dxf>
      <fill>
        <patternFill>
          <bgColor theme="0" tint="-0.249977111117893"/>
        </patternFill>
      </fill>
    </dxf>
    <dxf>
      <fill>
        <patternFill>
          <bgColor theme="0" tint="-0.249977111117893"/>
        </patternFill>
      </fill>
    </dxf>
    <dxf>
      <font>
        <color theme="0"/>
      </font>
      <fill>
        <patternFill patternType="solid">
          <fgColor indexed="64"/>
          <bgColor theme="9" tint="-0.249977111117893"/>
        </patternFill>
      </fill>
    </dxf>
    <dxf>
      <font>
        <color theme="0"/>
      </font>
      <fill>
        <patternFill patternType="solid">
          <fgColor indexed="64"/>
          <bgColor theme="9" tint="-0.249977111117893"/>
        </patternFill>
      </fill>
      <alignment horizontal="center" vertical="center" wrapText="1"/>
    </dxf>
    <dxf>
      <font>
        <color theme="0"/>
      </font>
      <fill>
        <patternFill patternType="solid">
          <fgColor indexed="64"/>
          <bgColor theme="9" tint="-0.249977111117893"/>
        </patternFill>
      </fill>
    </dxf>
    <dxf>
      <alignment wrapText="1"/>
    </dxf>
    <dxf>
      <font>
        <color theme="0"/>
      </font>
      <fill>
        <patternFill patternType="solid">
          <fgColor indexed="64"/>
          <bgColor theme="9" tint="-0.249977111117893"/>
        </patternFill>
      </fill>
      <alignment horizontal="center" vertical="center"/>
    </dxf>
    <dxf>
      <alignment wrapText="1"/>
    </dxf>
    <dxf>
      <font>
        <color theme="0"/>
      </font>
    </dxf>
    <dxf>
      <fill>
        <patternFill patternType="solid">
          <bgColor rgb="FF7030A0"/>
        </patternFill>
      </fill>
    </dxf>
    <dxf>
      <alignment vertical="center"/>
    </dxf>
    <dxf>
      <alignment horizontal="center"/>
    </dxf>
    <dxf>
      <font>
        <color theme="0"/>
      </font>
    </dxf>
    <dxf>
      <font>
        <color theme="0"/>
      </font>
    </dxf>
    <dxf>
      <fill>
        <patternFill patternType="solid">
          <bgColor theme="1"/>
        </patternFill>
      </fill>
    </dxf>
    <dxf>
      <fill>
        <patternFill patternType="solid">
          <bgColor theme="1"/>
        </patternFill>
      </fill>
    </dxf>
    <dxf>
      <font>
        <color theme="0"/>
      </font>
    </dxf>
    <dxf>
      <font>
        <color theme="0"/>
      </font>
    </dxf>
    <dxf>
      <fill>
        <patternFill patternType="solid">
          <bgColor theme="9" tint="-0.249977111117893"/>
        </patternFill>
      </fill>
    </dxf>
    <dxf>
      <fill>
        <patternFill patternType="solid">
          <bgColor theme="9" tint="-0.249977111117893"/>
        </patternFill>
      </fill>
    </dxf>
    <dxf>
      <font>
        <color theme="0"/>
      </font>
    </dxf>
    <dxf>
      <font>
        <color theme="0"/>
      </font>
    </dxf>
    <dxf>
      <fill>
        <patternFill patternType="solid">
          <bgColor theme="5" tint="-0.249977111117893"/>
        </patternFill>
      </fill>
    </dxf>
    <dxf>
      <fill>
        <patternFill patternType="solid">
          <bgColor theme="5" tint="-0.249977111117893"/>
        </patternFill>
      </fill>
    </dxf>
    <dxf>
      <font>
        <color theme="0"/>
      </font>
    </dxf>
    <dxf>
      <font>
        <color theme="0"/>
      </font>
    </dxf>
    <dxf>
      <fill>
        <patternFill patternType="solid">
          <bgColor rgb="FF0070C0"/>
        </patternFill>
      </fill>
    </dxf>
    <dxf>
      <fill>
        <patternFill patternType="solid">
          <bgColor rgb="FF0070C0"/>
        </patternFill>
      </fill>
    </dxf>
    <dxf>
      <numFmt numFmtId="164" formatCode="_(* #,##0_);_(* \(#,##0\);_(* &quot;-&quot;??_);_(@_)"/>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font>
        <name val="Calibri"/>
        <scheme val="minor"/>
      </font>
    </dxf>
    <dxf>
      <alignment wrapText="1"/>
    </dxf>
    <dxf>
      <font>
        <color theme="0"/>
      </font>
      <numFmt numFmtId="164" formatCode="_(* #,##0_);_(* \(#,##0\);_(* &quot;-&quot;??_);_(@_)"/>
      <fill>
        <patternFill patternType="solid">
          <fgColor indexed="64"/>
          <bgColor rgb="FF0070C0"/>
        </patternFill>
      </fill>
    </dxf>
    <dxf>
      <font>
        <color theme="0"/>
      </font>
      <fill>
        <patternFill patternType="solid">
          <fgColor indexed="64"/>
          <bgColor rgb="FF0070C0"/>
        </patternFill>
      </fill>
      <alignment horizontal="center"/>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font>
        <name val="Calibri"/>
        <scheme val="minor"/>
      </font>
    </dxf>
    <dxf>
      <alignment wrapText="1"/>
    </dxf>
    <dxf>
      <font>
        <color theme="0"/>
      </font>
      <fill>
        <patternFill patternType="solid">
          <fgColor indexed="64"/>
          <bgColor theme="5" tint="-0.249977111117893"/>
        </patternFill>
      </fill>
      <alignment horizontal="right" vertical="center"/>
    </dxf>
    <dxf>
      <font>
        <color theme="0"/>
      </font>
      <fill>
        <patternFill patternType="solid">
          <fgColor indexed="64"/>
          <bgColor theme="9" tint="-0.499984740745262"/>
        </patternFill>
      </fill>
      <alignment horizontal="center" vertical="center" wrapText="1"/>
    </dxf>
    <dxf>
      <font>
        <color theme="0"/>
      </font>
      <fill>
        <patternFill patternType="solid">
          <fgColor indexed="64"/>
          <bgColor theme="9" tint="-0.499984740745262"/>
        </patternFill>
      </fill>
      <alignment horizontal="center" vertical="center" wrapText="1"/>
    </dxf>
    <dxf>
      <numFmt numFmtId="164" formatCode="_(* #,##0_);_(* \(#,##0\);_(* &quot;-&quot;??_);_(@_)"/>
    </dxf>
    <dxf>
      <numFmt numFmtId="164" formatCode="_(* #,##0_);_(* \(#,##0\);_(* &quot;-&quot;??_);_(@_)"/>
    </dxf>
    <dxf>
      <font>
        <color theme="0"/>
      </font>
      <fill>
        <patternFill patternType="solid">
          <fgColor indexed="64"/>
          <bgColor rgb="FF0070C0"/>
        </patternFill>
      </fill>
      <alignment horizontal="center" vertical="center" wrapText="1"/>
    </dxf>
    <dxf>
      <font>
        <color theme="0"/>
      </font>
      <fill>
        <patternFill patternType="solid">
          <fgColor indexed="64"/>
          <bgColor theme="5" tint="-0.249977111117893"/>
        </patternFill>
      </fill>
      <alignment horizontal="center" vertical="center" wrapText="1"/>
    </dxf>
    <dxf>
      <font>
        <color theme="0"/>
      </font>
      <fill>
        <patternFill patternType="solid">
          <fgColor indexed="64"/>
          <bgColor rgb="FF0070C0"/>
        </patternFill>
      </fill>
      <alignment horizontal="center" vertical="center" wrapText="1" readingOrder="0"/>
    </dxf>
    <dxf>
      <font>
        <b/>
        <color theme="0"/>
      </font>
      <fill>
        <patternFill patternType="solid">
          <fgColor indexed="64"/>
          <bgColor theme="1"/>
        </patternFill>
      </fill>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0" formatCode="General"/>
      <fill>
        <patternFill patternType="none">
          <bgColor auto="1"/>
        </patternFill>
      </fill>
    </dxf>
    <dxf>
      <numFmt numFmtId="0" formatCode="General"/>
      <fill>
        <patternFill patternType="none">
          <bgColor auto="1"/>
        </patternFill>
      </fill>
    </dxf>
    <dxf>
      <numFmt numFmtId="0" formatCode="General"/>
      <fill>
        <patternFill patternType="none">
          <bgColor auto="1"/>
        </patternFill>
      </fill>
    </dxf>
    <dxf>
      <numFmt numFmtId="0" formatCode="General"/>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alignment horizontal="general" vertical="bottom" textRotation="0" wrapText="1" indent="0" justifyLastLine="0" shrinkToFit="0" readingOrder="1"/>
    </dxf>
    <dxf>
      <font>
        <strike val="0"/>
        <outline val="0"/>
        <shadow val="0"/>
        <u val="none"/>
        <vertAlign val="baseline"/>
        <sz val="10"/>
        <name val="Calibri"/>
        <scheme val="minor"/>
      </font>
      <numFmt numFmtId="165" formatCode="[$-409]d\-mmm\-yy;@"/>
      <fill>
        <patternFill patternType="none">
          <bgColor auto="1"/>
        </patternFill>
      </fill>
    </dxf>
    <dxf>
      <font>
        <strike val="0"/>
        <outline val="0"/>
        <shadow val="0"/>
        <u val="none"/>
        <vertAlign val="baseline"/>
        <sz val="10"/>
        <name val="Calibri"/>
        <scheme val="minor"/>
      </font>
      <numFmt numFmtId="1" formatCode="0"/>
      <fill>
        <patternFill patternType="none">
          <bgColor auto="1"/>
        </patternFill>
      </fill>
    </dxf>
    <dxf>
      <font>
        <strike val="0"/>
        <outline val="0"/>
        <shadow val="0"/>
        <u val="none"/>
        <vertAlign val="baseline"/>
        <sz val="10"/>
        <name val="Calibri"/>
        <scheme val="minor"/>
      </font>
      <numFmt numFmtId="0" formatCode="General"/>
      <fill>
        <patternFill patternType="none">
          <bgColor auto="1"/>
        </patternFill>
      </fill>
      <alignment horizontal="general" vertical="bottom" textRotation="0" wrapText="1" indent="0" justifyLastLine="0" shrinkToFit="0" readingOrder="1"/>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fgColor indexed="64"/>
          <bgColor auto="1"/>
        </patternFill>
      </fill>
    </dxf>
    <dxf>
      <font>
        <strike val="0"/>
        <outline val="0"/>
        <shadow val="0"/>
        <u val="none"/>
        <vertAlign val="baseline"/>
        <sz val="10"/>
        <name val="Calibri"/>
        <scheme val="minor"/>
      </font>
      <fill>
        <patternFill patternType="none">
          <fgColor indexed="64"/>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dxf>
    <dxf>
      <font>
        <strike val="0"/>
        <outline val="0"/>
        <shadow val="0"/>
        <u val="none"/>
        <vertAlign val="baseline"/>
        <sz val="10"/>
        <name val="Calibri"/>
        <scheme val="minor"/>
      </font>
      <numFmt numFmtId="1" formatCode="0"/>
      <fill>
        <patternFill patternType="none">
          <fgColor indexed="64"/>
          <bgColor auto="1"/>
        </patternFill>
      </fill>
      <border diagonalUp="0" diagonalDown="0" outline="0">
        <left/>
        <right/>
        <top style="thin">
          <color theme="4" tint="0.39997558519241921"/>
        </top>
        <bottom/>
      </border>
    </dxf>
    <dxf>
      <font>
        <strike val="0"/>
        <outline val="0"/>
        <shadow val="0"/>
        <u val="none"/>
        <vertAlign val="baseline"/>
        <sz val="10"/>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strike val="0"/>
        <outline val="0"/>
        <shadow val="0"/>
        <u val="none"/>
        <vertAlign val="baseline"/>
        <sz val="10"/>
        <name val="Calibri"/>
        <scheme val="minor"/>
      </font>
      <numFmt numFmtId="1" formatCode="0"/>
      <fill>
        <patternFill patternType="none">
          <fgColor indexed="64"/>
          <bgColor indexed="65"/>
        </patternFill>
      </fill>
    </dxf>
    <dxf>
      <fill>
        <patternFill patternType="none">
          <bgColor auto="1"/>
        </patternFill>
      </fill>
    </dxf>
    <dxf>
      <font>
        <strike val="0"/>
        <outline val="0"/>
        <shadow val="0"/>
        <u val="none"/>
        <vertAlign val="baseline"/>
        <sz val="10"/>
        <name val="Calibri"/>
        <scheme val="minor"/>
      </font>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2" formatCode="0.0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2" formatCode="0.0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5" formatCode="[$-409]d\-mmm\-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5" formatCode="[$-409]d\-mmm\-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8" formatCode="[$-409]d\-mmm\-yy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auto="1"/>
        </patternFill>
      </fill>
      <alignment horizontal="left" vertical="center" textRotation="0" wrapText="0" indent="0" justifyLastLine="0" shrinkToFit="0" readingOrder="1"/>
    </dxf>
    <dxf>
      <border outline="0">
        <left style="medium">
          <color rgb="FFFFFFFF"/>
        </left>
      </border>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border outline="0">
        <bottom style="medium">
          <color rgb="FFFFFFFF"/>
        </bottom>
      </border>
    </dxf>
    <dxf>
      <font>
        <b val="0"/>
        <strike val="0"/>
        <outline val="0"/>
        <shadow val="0"/>
        <u val="none"/>
        <vertAlign val="baseline"/>
        <sz val="9"/>
        <name val="Corbel"/>
        <scheme val="none"/>
      </font>
      <fill>
        <patternFill patternType="none">
          <fgColor indexed="64"/>
          <bgColor auto="1"/>
        </patternFill>
      </fill>
      <alignment textRotation="0" wrapText="1" indent="0" justifyLastLine="0" shrinkToFit="0"/>
    </dxf>
    <dxf>
      <font>
        <b/>
        <i val="0"/>
        <color rgb="FFFF0000"/>
      </font>
    </dxf>
    <dxf>
      <fill>
        <patternFill>
          <bgColor theme="4" tint="-0.24994659260841701"/>
        </patternFill>
      </fill>
    </dxf>
    <dxf>
      <fill>
        <patternFill>
          <bgColor rgb="FFCEFD95"/>
        </patternFill>
      </fill>
    </dxf>
    <dxf>
      <fill>
        <patternFill>
          <bgColor theme="4" tint="0.59996337778862885"/>
        </patternFill>
      </fill>
    </dxf>
    <dxf>
      <fill>
        <patternFill>
          <bgColor rgb="FFE1F3F2"/>
        </patternFill>
      </fill>
    </dxf>
    <dxf>
      <fill>
        <patternFill>
          <bgColor rgb="FFEAFFC1"/>
        </patternFill>
      </fill>
    </dxf>
    <dxf>
      <fill>
        <patternFill>
          <bgColor rgb="FFFCFCD0"/>
        </patternFill>
      </fill>
    </dxf>
    <dxf>
      <fill>
        <patternFill>
          <bgColor theme="7" tint="0.79998168889431442"/>
        </patternFill>
      </fill>
    </dxf>
    <dxf>
      <fill>
        <patternFill>
          <bgColor theme="4" tint="0.79998168889431442"/>
        </patternFill>
      </fill>
      <border>
        <left style="thin">
          <color theme="8"/>
        </left>
        <right style="thin">
          <color theme="8"/>
        </right>
        <top style="thin">
          <color theme="8"/>
        </top>
        <bottom style="thin">
          <color theme="8"/>
        </bottom>
        <vertical style="thin">
          <color theme="8"/>
        </vertical>
        <horizontal style="thin">
          <color theme="8"/>
        </horizontal>
      </border>
    </dxf>
    <dxf>
      <border>
        <vertical style="thin">
          <color auto="1"/>
        </vertical>
        <horizontal style="thin">
          <color auto="1"/>
        </horizontal>
      </border>
    </dxf>
    <dxf>
      <font>
        <b/>
        <color theme="1"/>
      </font>
    </dxf>
    <dxf>
      <font>
        <b/>
        <color theme="1"/>
      </font>
      <fill>
        <patternFill patternType="solid">
          <fgColor theme="4" tint="0.79998168889431442"/>
          <bgColor theme="4" tint="0.79998168889431442"/>
        </patternFill>
      </fill>
      <border>
        <bottom style="thin">
          <color theme="0"/>
        </bottom>
      </border>
    </dxf>
    <dxf>
      <border>
        <top style="thin">
          <color theme="4" tint="0.79998168889431442"/>
        </top>
      </border>
    </dxf>
    <dxf>
      <border>
        <top style="thin">
          <color theme="4" tint="0.79998168889431442"/>
        </top>
      </border>
    </dxf>
    <dxf>
      <font>
        <b/>
        <color theme="1"/>
      </font>
    </dxf>
    <dxf>
      <font>
        <b/>
        <color theme="1"/>
      </font>
      <fill>
        <patternFill patternType="solid">
          <fgColor theme="4" tint="0.79998168889431442"/>
          <bgColor theme="4" tint="0.79998168889431442"/>
        </patternFill>
      </fill>
      <border>
        <top style="thin">
          <color theme="4" tint="0.59999389629810485"/>
        </top>
        <bottom style="thin">
          <color theme="4" tint="0.59999389629810485"/>
        </bottom>
      </border>
    </dxf>
    <dxf>
      <border>
        <left style="thin">
          <color theme="4"/>
        </left>
        <right style="thin">
          <color theme="4"/>
        </right>
        <top style="thin">
          <color theme="4"/>
        </top>
        <bottom style="thin">
          <color theme="4"/>
        </bottom>
        <vertical style="thin">
          <color theme="4"/>
        </vertical>
        <horizontal style="thin">
          <color theme="4"/>
        </horizontal>
      </border>
    </dxf>
    <dxf>
      <border>
        <vertical style="thin">
          <color theme="4" tint="0.39994506668294322"/>
        </vertical>
        <horizontal style="thin">
          <color theme="4" tint="0.39994506668294322"/>
        </horizontal>
      </border>
    </dxf>
    <dxf>
      <border>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border>
        <right style="thin">
          <color theme="4"/>
        </right>
      </border>
    </dxf>
    <dxf>
      <font>
        <b/>
        <color theme="1"/>
      </font>
      <border>
        <left style="medium">
          <color theme="4"/>
        </left>
        <right style="medium">
          <color theme="4"/>
        </right>
        <top style="medium">
          <color theme="4"/>
        </top>
        <bottom style="medium">
          <color theme="4"/>
        </bottom>
      </border>
    </dxf>
    <dxf>
      <font>
        <b/>
        <color theme="1"/>
      </font>
      <border>
        <left style="medium">
          <color theme="4"/>
        </left>
        <right style="medium">
          <color theme="4"/>
        </right>
        <top style="medium">
          <color theme="4"/>
        </top>
        <bottom style="medium">
          <color theme="4"/>
        </bottom>
        <horizontal style="thin">
          <color theme="0"/>
        </horizontal>
      </border>
    </dxf>
    <dxf>
      <font>
        <color theme="4" tint="-0.249977111117893"/>
      </font>
      <border>
        <left style="thin">
          <color theme="4"/>
        </left>
        <right style="thin">
          <color theme="4"/>
        </right>
        <top style="thin">
          <color theme="4"/>
        </top>
        <bottom style="thin">
          <color theme="4"/>
        </bottom>
        <vertical style="thin">
          <color theme="4"/>
        </vertical>
        <horizontal/>
      </border>
    </dxf>
    <dxf>
      <font>
        <color theme="4" tint="-0.249977111117893"/>
      </font>
    </dxf>
    <dxf>
      <font>
        <color theme="4" tint="-0.249977111117893"/>
      </font>
    </dxf>
    <dxf>
      <font>
        <color theme="4" tint="-0.249977111117893"/>
      </font>
    </dxf>
    <dxf>
      <font>
        <color theme="4" tint="-0.249977111117893"/>
      </font>
    </dxf>
    <dxf>
      <fill>
        <patternFill patternType="solid">
          <fgColor theme="4" tint="0.79998168889431442"/>
          <bgColor theme="4" tint="0.79998168889431442"/>
        </patternFill>
      </fill>
    </dxf>
    <dxf>
      <fill>
        <patternFill patternType="solid">
          <fgColor theme="4" tint="0.79998168889431442"/>
          <bgColor theme="4" tint="0.79998168889431442"/>
        </patternFill>
      </fill>
      <border>
        <top style="thin">
          <color theme="1" tint="0.499984740745262"/>
        </top>
        <bottom style="thin">
          <color theme="1" tint="0.499984740745262"/>
        </bottom>
      </border>
    </dxf>
    <dxf>
      <font>
        <color theme="4" tint="-0.249977111117893"/>
      </font>
    </dxf>
    <dxf>
      <font>
        <color theme="4" tint="-0.249977111117893"/>
      </font>
      <border>
        <top style="thin">
          <color theme="4"/>
        </top>
      </border>
    </dxf>
    <dxf>
      <font>
        <color theme="4" tint="-0.249977111117893"/>
      </font>
      <border>
        <bottom style="thin">
          <color theme="4"/>
        </bottom>
      </border>
    </dxf>
    <dxf>
      <font>
        <color theme="4" tint="-0.249977111117893"/>
      </font>
      <border>
        <left style="thin">
          <color theme="4"/>
        </left>
        <right style="thin">
          <color theme="4"/>
        </right>
        <top style="thin">
          <color theme="4"/>
        </top>
        <bottom style="thin">
          <color theme="4"/>
        </bottom>
        <vertical style="thin">
          <color theme="4"/>
        </vertical>
      </border>
    </dxf>
    <dxf>
      <font>
        <b/>
        <color theme="1"/>
      </font>
    </dxf>
    <dxf>
      <font>
        <b/>
        <color theme="1"/>
      </font>
      <fill>
        <patternFill patternType="solid">
          <fgColor theme="9" tint="0.79998168889431442"/>
          <bgColor theme="9" tint="0.79998168889431442"/>
        </patternFill>
      </fill>
      <border>
        <bottom style="thin">
          <color theme="0"/>
        </bottom>
      </border>
    </dxf>
    <dxf>
      <border>
        <top style="thin">
          <color theme="9" tint="0.79998168889431442"/>
        </top>
      </border>
    </dxf>
    <dxf>
      <border>
        <top style="thin">
          <color theme="9" tint="0.79998168889431442"/>
        </top>
      </border>
    </dxf>
    <dxf>
      <font>
        <b/>
        <color theme="1"/>
      </font>
    </dxf>
    <dxf>
      <font>
        <b/>
        <color theme="1"/>
      </font>
      <fill>
        <patternFill patternType="solid">
          <fgColor theme="9" tint="0.79998168889431442"/>
          <bgColor theme="9" tint="0.79998168889431442"/>
        </patternFill>
      </fill>
      <border>
        <top style="thin">
          <color theme="9" tint="0.59999389629810485"/>
        </top>
        <bottom style="thin">
          <color theme="9" tint="0.59999389629810485"/>
        </bottom>
      </border>
    </dxf>
    <dxf>
      <border>
        <left style="thin">
          <color theme="9"/>
        </left>
        <right style="thin">
          <color theme="9"/>
        </right>
        <top style="thin">
          <color theme="9"/>
        </top>
        <bottom style="thin">
          <color theme="9"/>
        </bottom>
      </border>
    </dxf>
    <dxf>
      <border>
        <left style="thin">
          <color theme="9" tint="0.59999389629810485"/>
        </left>
        <right style="thin">
          <color theme="9" tint="0.59999389629810485"/>
        </right>
        <top style="thin">
          <color theme="9" tint="0.59999389629810485"/>
        </top>
        <bottom style="thin">
          <color theme="9" tint="0.59999389629810485"/>
        </bottom>
      </border>
    </dxf>
    <dxf>
      <border>
        <right style="thin">
          <color theme="9"/>
        </right>
      </border>
    </dxf>
    <dxf>
      <font>
        <b/>
        <color theme="1"/>
      </font>
      <border>
        <left style="medium">
          <color theme="9"/>
        </left>
        <right style="medium">
          <color theme="9"/>
        </right>
        <top style="medium">
          <color theme="9"/>
        </top>
        <bottom style="medium">
          <color theme="9"/>
        </bottom>
      </border>
    </dxf>
    <dxf>
      <font>
        <b/>
        <color theme="1"/>
      </font>
      <border>
        <left style="medium">
          <color theme="9"/>
        </left>
        <right style="medium">
          <color theme="9"/>
        </right>
        <top style="medium">
          <color theme="9"/>
        </top>
        <bottom style="medium">
          <color theme="9"/>
        </bottom>
        <horizontal style="thin">
          <color theme="0"/>
        </horizontal>
      </border>
    </dxf>
    <dxf>
      <font>
        <color theme="9" tint="-0.249977111117893"/>
      </font>
      <border>
        <vertical style="thin">
          <color theme="9" tint="0.59996337778862885"/>
        </vertical>
        <horizontal style="thin">
          <color theme="9" tint="0.59996337778862885"/>
        </horizontal>
      </border>
    </dxf>
    <dxf>
      <font>
        <b/>
        <color theme="1"/>
      </font>
    </dxf>
    <dxf>
      <font>
        <b/>
        <color theme="1"/>
      </font>
      <fill>
        <patternFill patternType="solid">
          <fgColor theme="5" tint="0.79998168889431442"/>
          <bgColor theme="5" tint="0.79998168889431442"/>
        </patternFill>
      </fill>
      <border>
        <bottom style="thin">
          <color theme="0"/>
        </bottom>
      </border>
    </dxf>
    <dxf>
      <border>
        <top style="thin">
          <color theme="5" tint="0.79998168889431442"/>
        </top>
      </border>
    </dxf>
    <dxf>
      <border>
        <top style="thin">
          <color theme="5" tint="0.79998168889431442"/>
        </top>
      </border>
    </dxf>
    <dxf>
      <font>
        <b/>
        <color theme="1"/>
      </font>
    </dxf>
    <dxf>
      <font>
        <b/>
        <color theme="1"/>
      </font>
      <fill>
        <patternFill patternType="solid">
          <fgColor theme="5" tint="0.79998168889431442"/>
          <bgColor theme="5" tint="0.79998168889431442"/>
        </patternFill>
      </fill>
      <border>
        <top style="thin">
          <color theme="5" tint="0.59999389629810485"/>
        </top>
        <bottom style="thin">
          <color theme="5" tint="0.59999389629810485"/>
        </bottom>
      </border>
    </dxf>
    <dxf>
      <border>
        <left style="thin">
          <color theme="5"/>
        </left>
        <right style="thin">
          <color theme="5"/>
        </right>
        <top style="thin">
          <color theme="5"/>
        </top>
        <bottom style="thin">
          <color theme="5"/>
        </bottom>
      </border>
    </dxf>
    <dxf>
      <border>
        <left style="thin">
          <color theme="5" tint="0.59999389629810485"/>
        </left>
        <right style="thin">
          <color theme="5" tint="0.59999389629810485"/>
        </right>
        <top style="thin">
          <color theme="5" tint="0.59999389629810485"/>
        </top>
        <bottom style="thin">
          <color theme="5" tint="0.59999389629810485"/>
        </bottom>
      </border>
    </dxf>
    <dxf>
      <border>
        <right style="thin">
          <color theme="5"/>
        </right>
      </border>
    </dxf>
    <dxf>
      <font>
        <b/>
        <color theme="1"/>
      </font>
      <border>
        <left style="medium">
          <color theme="5"/>
        </left>
        <right style="medium">
          <color theme="5"/>
        </right>
        <top style="medium">
          <color theme="5"/>
        </top>
        <bottom style="medium">
          <color theme="5"/>
        </bottom>
      </border>
    </dxf>
    <dxf>
      <font>
        <b/>
        <color theme="1"/>
      </font>
      <border>
        <left style="medium">
          <color theme="5"/>
        </left>
        <right style="medium">
          <color theme="5"/>
        </right>
        <top style="medium">
          <color theme="5"/>
        </top>
        <bottom style="medium">
          <color theme="5"/>
        </bottom>
        <horizontal style="thin">
          <color theme="0"/>
        </horizontal>
      </border>
    </dxf>
    <dxf>
      <font>
        <color theme="5" tint="-0.249977111117893"/>
      </font>
      <border>
        <vertical style="thin">
          <color theme="5" tint="0.59996337778862885"/>
        </vertical>
        <horizontal style="thin">
          <color theme="5" tint="0.59996337778862885"/>
        </horizontal>
      </border>
    </dxf>
    <dxf>
      <font>
        <b/>
        <color theme="1"/>
      </font>
    </dxf>
    <dxf>
      <font>
        <b/>
        <color theme="1"/>
      </font>
      <fill>
        <patternFill patternType="solid">
          <fgColor theme="4" tint="0.79998168889431442"/>
          <bgColor theme="4" tint="0.79998168889431442"/>
        </patternFill>
      </fill>
      <border>
        <bottom style="thin">
          <color theme="0"/>
        </bottom>
      </border>
    </dxf>
    <dxf>
      <border>
        <top style="thin">
          <color theme="4" tint="0.79998168889431442"/>
        </top>
      </border>
    </dxf>
    <dxf>
      <border>
        <top style="thin">
          <color theme="4" tint="0.79998168889431442"/>
        </top>
      </border>
    </dxf>
    <dxf>
      <font>
        <b/>
        <color theme="1"/>
      </font>
    </dxf>
    <dxf>
      <font>
        <b/>
        <color theme="1"/>
      </font>
      <fill>
        <patternFill patternType="solid">
          <fgColor theme="4" tint="0.79998168889431442"/>
          <bgColor theme="4" tint="0.79998168889431442"/>
        </patternFill>
      </fill>
      <border>
        <top style="thin">
          <color theme="4" tint="0.59999389629810485"/>
        </top>
        <bottom style="thin">
          <color theme="4" tint="0.59999389629810485"/>
        </bottom>
      </border>
    </dxf>
    <dxf>
      <border>
        <left style="thin">
          <color theme="4"/>
        </left>
        <right style="thin">
          <color theme="4"/>
        </right>
        <top style="thin">
          <color theme="4"/>
        </top>
        <bottom style="thin">
          <color theme="4"/>
        </bottom>
        <vertical style="thin">
          <color theme="4"/>
        </vertical>
        <horizontal style="thin">
          <color theme="4"/>
        </horizontal>
      </border>
    </dxf>
    <dxf>
      <border>
        <vertical style="thin">
          <color theme="4" tint="0.39994506668294322"/>
        </vertical>
        <horizontal style="thin">
          <color theme="4" tint="0.39994506668294322"/>
        </horizontal>
      </border>
    </dxf>
    <dxf>
      <border>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border>
        <right style="thin">
          <color theme="4"/>
        </right>
      </border>
    </dxf>
    <dxf>
      <font>
        <b/>
        <color theme="1"/>
      </font>
      <border>
        <left style="medium">
          <color theme="4"/>
        </left>
        <right style="medium">
          <color theme="4"/>
        </right>
        <top style="medium">
          <color theme="4"/>
        </top>
        <bottom style="medium">
          <color theme="4"/>
        </bottom>
      </border>
    </dxf>
    <dxf>
      <font>
        <b/>
        <color theme="1"/>
      </font>
      <border>
        <left style="medium">
          <color theme="4"/>
        </left>
        <right style="medium">
          <color theme="4"/>
        </right>
        <top style="medium">
          <color theme="4"/>
        </top>
        <bottom style="medium">
          <color theme="4"/>
        </bottom>
        <horizontal style="thin">
          <color theme="0"/>
        </horizontal>
      </border>
    </dxf>
    <dxf>
      <font>
        <color theme="4" tint="-0.249977111117893"/>
      </font>
      <border>
        <left style="thin">
          <color theme="4"/>
        </left>
        <right style="thin">
          <color theme="4"/>
        </right>
        <top style="thin">
          <color theme="4"/>
        </top>
        <bottom style="thin">
          <color theme="4"/>
        </bottom>
        <vertical style="thin">
          <color theme="4"/>
        </vertical>
        <horizontal/>
      </border>
    </dxf>
    <dxf>
      <font>
        <sz val="8"/>
        <name val="Gill Sans MT"/>
        <scheme val="none"/>
      </font>
    </dxf>
    <dxf>
      <font>
        <b/>
        <color theme="1"/>
      </font>
      <border>
        <bottom style="thin">
          <color theme="4"/>
        </bottom>
        <vertical/>
        <horizontal/>
      </border>
    </dxf>
    <dxf>
      <font>
        <color theme="1"/>
        <name val="Gill Sans MT"/>
        <scheme val="none"/>
      </font>
      <border>
        <left/>
        <right/>
        <top/>
        <bottom/>
        <vertical/>
        <horizontal/>
      </border>
    </dxf>
  </dxfs>
  <tableStyles count="10" defaultTableStyle="TableStyleMedium2" defaultPivotStyle="PivotStyleLight16">
    <tableStyle name="4W" pivot="0" table="0" count="10" xr9:uid="{00000000-0011-0000-FFFF-FFFF00000000}">
      <tableStyleElement type="wholeTable" dxfId="911"/>
      <tableStyleElement type="headerRow" dxfId="910"/>
    </tableStyle>
    <tableStyle name="4W Style" pivot="0" table="0" count="1" xr9:uid="{00000000-0011-0000-FFFF-FFFF01000000}">
      <tableStyleElement type="wholeTable" dxfId="909"/>
    </tableStyle>
    <tableStyle name="CUSTOM" table="0" count="13" xr9:uid="{00000000-0011-0000-FFFF-FFFF02000000}">
      <tableStyleElement type="wholeTable" dxfId="908"/>
      <tableStyleElement type="headerRow" dxfId="907"/>
      <tableStyleElement type="totalRow" dxfId="906"/>
      <tableStyleElement type="firstColumn" dxfId="905"/>
      <tableStyleElement type="firstRowStripe" dxfId="904"/>
      <tableStyleElement type="secondRowStripe" dxfId="903"/>
      <tableStyleElement type="firstColumnStripe" dxfId="902"/>
      <tableStyleElement type="firstSubtotalRow" dxfId="901"/>
      <tableStyleElement type="secondSubtotalRow" dxfId="900"/>
      <tableStyleElement type="secondColumnSubheading" dxfId="899"/>
      <tableStyleElement type="thirdColumnSubheading" dxfId="898"/>
      <tableStyleElement type="firstRowSubheading" dxfId="897"/>
      <tableStyleElement type="secondRowSubheading" dxfId="896"/>
    </tableStyle>
    <tableStyle name="PivotStyleLight10 2" table="0" count="12" xr9:uid="{00000000-0011-0000-FFFF-FFFF03000000}">
      <tableStyleElement type="wholeTable" dxfId="895"/>
      <tableStyleElement type="headerRow" dxfId="894"/>
      <tableStyleElement type="totalRow" dxfId="893"/>
      <tableStyleElement type="firstColumn" dxfId="892"/>
      <tableStyleElement type="firstRowStripe" dxfId="891"/>
      <tableStyleElement type="firstColumnStripe" dxfId="890"/>
      <tableStyleElement type="firstSubtotalRow" dxfId="889"/>
      <tableStyleElement type="secondSubtotalRow" dxfId="888"/>
      <tableStyleElement type="secondColumnSubheading" dxfId="887"/>
      <tableStyleElement type="thirdColumnSubheading" dxfId="886"/>
      <tableStyleElement type="firstRowSubheading" dxfId="885"/>
      <tableStyleElement type="secondRowSubheading" dxfId="884"/>
    </tableStyle>
    <tableStyle name="PivotStyleLight14 2" table="0" count="12" xr9:uid="{00000000-0011-0000-FFFF-FFFF04000000}">
      <tableStyleElement type="wholeTable" dxfId="883"/>
      <tableStyleElement type="headerRow" dxfId="882"/>
      <tableStyleElement type="totalRow" dxfId="881"/>
      <tableStyleElement type="firstColumn" dxfId="880"/>
      <tableStyleElement type="firstRowStripe" dxfId="879"/>
      <tableStyleElement type="firstColumnStripe" dxfId="878"/>
      <tableStyleElement type="firstSubtotalRow" dxfId="877"/>
      <tableStyleElement type="secondSubtotalRow" dxfId="876"/>
      <tableStyleElement type="secondColumnSubheading" dxfId="875"/>
      <tableStyleElement type="thirdColumnSubheading" dxfId="874"/>
      <tableStyleElement type="firstRowSubheading" dxfId="873"/>
      <tableStyleElement type="secondRowSubheading" dxfId="872"/>
    </tableStyle>
    <tableStyle name="PivotStyleLight23 2" table="0" count="10" xr9:uid="{00000000-0011-0000-FFFF-FFFF05000000}">
      <tableStyleElement type="wholeTable" dxfId="871"/>
      <tableStyleElement type="headerRow" dxfId="870"/>
      <tableStyleElement type="totalRow" dxfId="869"/>
      <tableStyleElement type="firstColumn" dxfId="868"/>
      <tableStyleElement type="firstRowStripe" dxfId="867"/>
      <tableStyleElement type="firstColumnStripe" dxfId="866"/>
      <tableStyleElement type="firstSubtotalColumn" dxfId="865"/>
      <tableStyleElement type="firstSubtotalRow" dxfId="864"/>
      <tableStyleElement type="secondSubtotalRow" dxfId="863"/>
      <tableStyleElement type="pageFieldLabels" dxfId="862"/>
    </tableStyle>
    <tableStyle name="PivotStyleLight9 2" table="0" count="13" xr9:uid="{00000000-0011-0000-FFFF-FFFF06000000}">
      <tableStyleElement type="wholeTable" dxfId="861"/>
      <tableStyleElement type="headerRow" dxfId="860"/>
      <tableStyleElement type="totalRow" dxfId="859"/>
      <tableStyleElement type="firstColumn" dxfId="858"/>
      <tableStyleElement type="firstRowStripe" dxfId="857"/>
      <tableStyleElement type="secondRowStripe" dxfId="856"/>
      <tableStyleElement type="firstColumnStripe" dxfId="855"/>
      <tableStyleElement type="firstSubtotalRow" dxfId="854"/>
      <tableStyleElement type="secondSubtotalRow" dxfId="853"/>
      <tableStyleElement type="secondColumnSubheading" dxfId="852"/>
      <tableStyleElement type="thirdColumnSubheading" dxfId="851"/>
      <tableStyleElement type="firstRowSubheading" dxfId="850"/>
      <tableStyleElement type="secondRowSubheading" dxfId="849"/>
    </tableStyle>
    <tableStyle name="PivotTable Style 1" table="0" count="1" xr9:uid="{00000000-0011-0000-FFFF-FFFF07000000}">
      <tableStyleElement type="wholeTable" dxfId="848"/>
    </tableStyle>
    <tableStyle name="PivotTable Style a" table="0" count="7" xr9:uid="{00000000-0011-0000-FFFF-FFFF08000000}">
      <tableStyleElement type="wholeTable" dxfId="847"/>
      <tableStyleElement type="headerRow" dxfId="846"/>
      <tableStyleElement type="totalRow" dxfId="845"/>
      <tableStyleElement type="firstColumn" dxfId="844"/>
      <tableStyleElement type="secondSubtotalRow" dxfId="843"/>
      <tableStyleElement type="firstRowSubheading" dxfId="842"/>
      <tableStyleElement type="secondRowSubheading" dxfId="841"/>
    </tableStyle>
    <tableStyle name="Slicer Style 1" pivot="0" table="0" count="5" xr9:uid="{00000000-0011-0000-FFFF-FFFF09000000}">
      <tableStyleElement type="wholeTable" dxfId="840"/>
    </tableStyle>
  </tableStyles>
  <colors>
    <mruColors>
      <color rgb="FFE4B6E4"/>
      <color rgb="FFD692D6"/>
      <color rgb="FF44546A"/>
      <color rgb="FFD4E8C6"/>
      <color rgb="FF85C2FF"/>
      <color rgb="FF098A9B"/>
      <color rgb="FFFF898C"/>
      <color rgb="FFCDFF9B"/>
      <color rgb="FF009900"/>
    </mruColors>
  </colors>
  <extLst>
    <ext xmlns:x14="http://schemas.microsoft.com/office/spreadsheetml/2009/9/main" uri="{46F421CA-312F-682f-3DD2-61675219B42D}">
      <x14:dxfs count="12">
        <dxf>
          <fill>
            <patternFill>
              <bgColor theme="7"/>
            </patternFill>
          </fill>
        </dxf>
        <dxf>
          <fill>
            <patternFill>
              <bgColor theme="7" tint="0.39994506668294322"/>
            </patternFill>
          </fill>
        </dxf>
        <dxf>
          <fill>
            <patternFill>
              <bgColor rgb="FF92D050"/>
            </patternFill>
          </fill>
        </dxf>
        <dxf>
          <fill>
            <patternFill>
              <bgColor theme="4" tint="0.39994506668294322"/>
            </patternFill>
          </fill>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4W">
        <x14:slicerStyle name="4W">
          <x14:slicerStyleElements>
            <x14:slicerStyleElement type="unselectedItemWithData" dxfId="11"/>
            <x14:slicerStyleElement type="unselectedItemWithNoData" dxfId="10"/>
            <x14:slicerStyleElement type="selectedItemWithData" dxfId="9"/>
            <x14:slicerStyleElement type="selectedItemWithNoData" dxfId="8"/>
            <x14:slicerStyleElement type="hoveredUnselectedItemWithData" dxfId="7"/>
            <x14:slicerStyleElement type="hoveredSelectedItemWithData" dxfId="6"/>
            <x14:slicerStyleElement type="hoveredUnselectedItemWithNoData" dxfId="5"/>
            <x14:slicerStyleElement type="hoveredSelectedItemWithNoData" dxfId="4"/>
          </x14:slicerStyleElements>
        </x14:slicerStyle>
        <x14:slicerStyle name="4W Style"/>
        <x14:slicerStyle name="Slicer Style 1">
          <x14:slicerStyleElements>
            <x14:slicerStyleElement type="unselectedItemWithData" dxfId="3"/>
            <x14:slicerStyleElement type="selectedItemWith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microsoft.com/office/2007/relationships/slicerCache" Target="slicerCaches/slicerCache5.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07/relationships/slicerCache" Target="slicerCaches/slicerCache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microsoft.com/office/2007/relationships/slicerCache" Target="slicerCaches/slicerCache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2.xml"/><Relationship Id="rId28" Type="http://schemas.microsoft.com/office/2007/relationships/slicerCache" Target="slicerCaches/slicerCache7.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microsoft.com/office/2007/relationships/slicerCache" Target="slicerCaches/slicerCache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1.xml"/><Relationship Id="rId27" Type="http://schemas.microsoft.com/office/2007/relationships/slicerCache" Target="slicerCaches/slicerCache6.xml"/><Relationship Id="rId30" Type="http://schemas.microsoft.com/office/2007/relationships/slicerCache" Target="slicerCaches/slicerCache9.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Number of  women, men, boys and girls benefitting from safe/improved drinking water,r, meeting demand for domestic purposes, at minimum/agreed standards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1"/>
          <c:order val="1"/>
          <c:tx>
            <c:strRef>
              <c:f>HRP!$D$39</c:f>
              <c:strCache>
                <c:ptCount val="1"/>
                <c:pt idx="0">
                  <c:v>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HRP!$B$40:$B$40</c:f>
              <c:strCache>
                <c:ptCount val="1"/>
                <c:pt idx="0">
                  <c:v> Central Rakhine </c:v>
                </c:pt>
              </c:strCache>
            </c:strRef>
          </c:cat>
          <c:val>
            <c:numRef>
              <c:f>HRP!$D$40:$D$40</c:f>
              <c:numCache>
                <c:formatCode>_(* #,##0_);_(* \(#,##0\);_(* "-"??_);_(@_)</c:formatCode>
                <c:ptCount val="1"/>
                <c:pt idx="0">
                  <c:v>114301.49333333335</c:v>
                </c:pt>
              </c:numCache>
            </c:numRef>
          </c:val>
          <c:extLst>
            <c:ext xmlns:c16="http://schemas.microsoft.com/office/drawing/2014/chart" uri="{C3380CC4-5D6E-409C-BE32-E72D297353CC}">
              <c16:uniqueId val="{00000001-B753-4CD1-A3E6-F95FDFA8B06B}"/>
            </c:ext>
          </c:extLst>
        </c:ser>
        <c:ser>
          <c:idx val="2"/>
          <c:order val="2"/>
          <c:tx>
            <c:strRef>
              <c:f>HRP!$E$39</c:f>
              <c:strCache>
                <c:ptCount val="1"/>
                <c:pt idx="0">
                  <c:v> Gap </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HRP!$B$40:$B$40</c:f>
              <c:strCache>
                <c:ptCount val="1"/>
                <c:pt idx="0">
                  <c:v> Central Rakhine </c:v>
                </c:pt>
              </c:strCache>
            </c:strRef>
          </c:cat>
          <c:val>
            <c:numRef>
              <c:f>HRP!$E$40:$E$40</c:f>
              <c:numCache>
                <c:formatCode>_(* #,##0_);_(* \(#,##0\);_(* "-"??_);_(@_)</c:formatCode>
                <c:ptCount val="1"/>
                <c:pt idx="0">
                  <c:v>140170.50666666665</c:v>
                </c:pt>
              </c:numCache>
            </c:numRef>
          </c:val>
          <c:extLst>
            <c:ext xmlns:c16="http://schemas.microsoft.com/office/drawing/2014/chart" uri="{C3380CC4-5D6E-409C-BE32-E72D297353CC}">
              <c16:uniqueId val="{00000002-B753-4CD1-A3E6-F95FDFA8B06B}"/>
            </c:ext>
          </c:extLst>
        </c:ser>
        <c:dLbls>
          <c:showLegendKey val="0"/>
          <c:showVal val="0"/>
          <c:showCatName val="0"/>
          <c:showSerName val="0"/>
          <c:showPercent val="0"/>
          <c:showBubbleSize val="0"/>
        </c:dLbls>
        <c:gapWidth val="150"/>
        <c:overlap val="100"/>
        <c:axId val="99914656"/>
        <c:axId val="99911912"/>
        <c:extLst>
          <c:ext xmlns:c15="http://schemas.microsoft.com/office/drawing/2012/chart" uri="{02D57815-91ED-43cb-92C2-25804820EDAC}">
            <c15:filteredBarSeries>
              <c15:ser>
                <c:idx val="0"/>
                <c:order val="0"/>
                <c:tx>
                  <c:strRef>
                    <c:extLst>
                      <c:ext uri="{02D57815-91ED-43cb-92C2-25804820EDAC}">
                        <c15:formulaRef>
                          <c15:sqref>HRP!$C$39</c15:sqref>
                        </c15:formulaRef>
                      </c:ext>
                    </c:extLst>
                    <c:strCache>
                      <c:ptCount val="1"/>
                      <c:pt idx="0">
                        <c:v>Target</c:v>
                      </c:pt>
                    </c:strCache>
                  </c:strRef>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Ref>
                    <c:extLst>
                      <c:ext uri="{02D57815-91ED-43cb-92C2-25804820EDAC}">
                        <c15:formulaRef>
                          <c15:sqref>HRP!$B$40:$B$40</c15:sqref>
                        </c15:formulaRef>
                      </c:ext>
                    </c:extLst>
                    <c:strCache>
                      <c:ptCount val="1"/>
                      <c:pt idx="0">
                        <c:v> Central Rakhine </c:v>
                      </c:pt>
                    </c:strCache>
                  </c:strRef>
                </c:cat>
                <c:val>
                  <c:numRef>
                    <c:extLst>
                      <c:ext uri="{02D57815-91ED-43cb-92C2-25804820EDAC}">
                        <c15:formulaRef>
                          <c15:sqref>HRP!$C$40:$C$40</c15:sqref>
                        </c15:formulaRef>
                      </c:ext>
                    </c:extLst>
                    <c:numCache>
                      <c:formatCode>_(* #,##0_);_(* \(#,##0\);_(* "-"??_);_(@_)</c:formatCode>
                      <c:ptCount val="1"/>
                      <c:pt idx="0">
                        <c:v>254472</c:v>
                      </c:pt>
                    </c:numCache>
                  </c:numRef>
                </c:val>
                <c:extLst>
                  <c:ext xmlns:c16="http://schemas.microsoft.com/office/drawing/2014/chart" uri="{C3380CC4-5D6E-409C-BE32-E72D297353CC}">
                    <c16:uniqueId val="{00000000-B753-4CD1-A3E6-F95FDFA8B06B}"/>
                  </c:ext>
                </c:extLst>
              </c15:ser>
            </c15:filteredBarSeries>
          </c:ext>
        </c:extLst>
      </c:barChart>
      <c:catAx>
        <c:axId val="9991465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99911912"/>
        <c:crosses val="autoZero"/>
        <c:auto val="1"/>
        <c:lblAlgn val="ctr"/>
        <c:lblOffset val="100"/>
        <c:noMultiLvlLbl val="0"/>
      </c:catAx>
      <c:valAx>
        <c:axId val="9991191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99914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7928240287341965"/>
          <c:y val="0.21516191168752388"/>
          <c:w val="0.77586055206596072"/>
          <c:h val="0.43143424982722389"/>
        </c:manualLayout>
      </c:layout>
      <c:barChart>
        <c:barDir val="col"/>
        <c:grouping val="stacked"/>
        <c:varyColors val="0"/>
        <c:ser>
          <c:idx val="0"/>
          <c:order val="0"/>
          <c:tx>
            <c:strRef>
              <c:f>Analysis!$F$95</c:f>
              <c:strCache>
                <c:ptCount val="1"/>
                <c:pt idx="0">
                  <c:v> Coverage </c:v>
                </c:pt>
              </c:strCache>
            </c:strRef>
          </c:tx>
          <c:spPr>
            <a:gradFill rotWithShape="1">
              <a:gsLst>
                <a:gs pos="0">
                  <a:schemeClr val="accent2">
                    <a:shade val="76000"/>
                    <a:satMod val="103000"/>
                    <a:lumMod val="102000"/>
                    <a:tint val="94000"/>
                  </a:schemeClr>
                </a:gs>
                <a:gs pos="50000">
                  <a:schemeClr val="accent2">
                    <a:shade val="76000"/>
                    <a:satMod val="110000"/>
                    <a:lumMod val="100000"/>
                    <a:shade val="100000"/>
                  </a:schemeClr>
                </a:gs>
                <a:gs pos="100000">
                  <a:schemeClr val="accent2">
                    <a:shade val="76000"/>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Analysis!$G$94</c:f>
              <c:strCache>
                <c:ptCount val="1"/>
                <c:pt idx="0">
                  <c:v> # in active camps (20:1) </c:v>
                </c:pt>
              </c:strCache>
            </c:strRef>
          </c:cat>
          <c:val>
            <c:numRef>
              <c:f>Analysis!$G$95</c:f>
              <c:numCache>
                <c:formatCode>_(* #,##0_);_(* \(#,##0\);_(* "-"??_);_(@_)</c:formatCode>
                <c:ptCount val="1"/>
                <c:pt idx="0">
                  <c:v>4507</c:v>
                </c:pt>
              </c:numCache>
            </c:numRef>
          </c:val>
          <c:extLst>
            <c:ext xmlns:c16="http://schemas.microsoft.com/office/drawing/2014/chart" uri="{C3380CC4-5D6E-409C-BE32-E72D297353CC}">
              <c16:uniqueId val="{00000000-A6C3-4C9D-924E-545947A62E9C}"/>
            </c:ext>
          </c:extLst>
        </c:ser>
        <c:ser>
          <c:idx val="1"/>
          <c:order val="1"/>
          <c:tx>
            <c:strRef>
              <c:f>Analysis!$F$96</c:f>
              <c:strCache>
                <c:ptCount val="1"/>
                <c:pt idx="0">
                  <c:v> GAP </c:v>
                </c:pt>
              </c:strCache>
            </c:strRef>
          </c:tx>
          <c:spPr>
            <a:gradFill rotWithShape="1">
              <a:gsLst>
                <a:gs pos="0">
                  <a:schemeClr val="accent2">
                    <a:tint val="77000"/>
                    <a:satMod val="103000"/>
                    <a:lumMod val="102000"/>
                    <a:tint val="94000"/>
                  </a:schemeClr>
                </a:gs>
                <a:gs pos="50000">
                  <a:schemeClr val="accent2">
                    <a:tint val="77000"/>
                    <a:satMod val="110000"/>
                    <a:lumMod val="100000"/>
                    <a:shade val="100000"/>
                  </a:schemeClr>
                </a:gs>
                <a:gs pos="100000">
                  <a:schemeClr val="accent2">
                    <a:tint val="77000"/>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Analysis!$G$94</c:f>
              <c:strCache>
                <c:ptCount val="1"/>
                <c:pt idx="0">
                  <c:v> # in active camps (20:1) </c:v>
                </c:pt>
              </c:strCache>
            </c:strRef>
          </c:cat>
          <c:val>
            <c:numRef>
              <c:f>Analysis!$G$96</c:f>
              <c:numCache>
                <c:formatCode>_(* #,##0_);_(* \(#,##0\);_(* "-"??_);_(@_)</c:formatCode>
                <c:ptCount val="1"/>
                <c:pt idx="0">
                  <c:v>1449</c:v>
                </c:pt>
              </c:numCache>
            </c:numRef>
          </c:val>
          <c:extLst>
            <c:ext xmlns:c16="http://schemas.microsoft.com/office/drawing/2014/chart" uri="{C3380CC4-5D6E-409C-BE32-E72D297353CC}">
              <c16:uniqueId val="{00000001-A6C3-4C9D-924E-545947A62E9C}"/>
            </c:ext>
          </c:extLst>
        </c:ser>
        <c:dLbls>
          <c:dLblPos val="ctr"/>
          <c:showLegendKey val="0"/>
          <c:showVal val="1"/>
          <c:showCatName val="0"/>
          <c:showSerName val="0"/>
          <c:showPercent val="0"/>
          <c:showBubbleSize val="0"/>
        </c:dLbls>
        <c:gapWidth val="150"/>
        <c:overlap val="100"/>
        <c:axId val="395455520"/>
        <c:axId val="395451208"/>
      </c:barChart>
      <c:catAx>
        <c:axId val="3954555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451208"/>
        <c:crosses val="autoZero"/>
        <c:auto val="1"/>
        <c:lblAlgn val="ctr"/>
        <c:lblOffset val="100"/>
        <c:noMultiLvlLbl val="0"/>
      </c:catAx>
      <c:valAx>
        <c:axId val="395451208"/>
        <c:scaling>
          <c:orientation val="minMax"/>
        </c:scaling>
        <c:delete val="0"/>
        <c:axPos val="l"/>
        <c:majorGridlines>
          <c:spPr>
            <a:ln w="9525" cap="flat" cmpd="sng" algn="ctr">
              <a:solidFill>
                <a:schemeClr val="tx2">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5455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r>
              <a:rPr lang="en-US" sz="1400" b="1" i="0" baseline="0">
                <a:effectLst/>
              </a:rPr>
              <a:t>Latrine Functionality</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012E-4C70-8DE8-442D9164B4FD}"/>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012E-4C70-8DE8-442D9164B4FD}"/>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012E-4C70-8DE8-442D9164B4FD}"/>
              </c:ext>
            </c:extLst>
          </c:dPt>
          <c:dLbls>
            <c:dLbl>
              <c:idx val="0"/>
              <c:layout>
                <c:manualLayout>
                  <c:x val="-0.17093393018013311"/>
                  <c:y val="-6.234541375513083E-3"/>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2E-4C70-8DE8-442D9164B4FD}"/>
                </c:ext>
              </c:extLst>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5-012E-4C70-8DE8-442D9164B4F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Analysis!$I$94:$I$96</c:f>
              <c:strCache>
                <c:ptCount val="3"/>
                <c:pt idx="0">
                  <c:v>Functioning</c:v>
                </c:pt>
                <c:pt idx="1">
                  <c:v>Operation &amp; maintenance</c:v>
                </c:pt>
                <c:pt idx="2">
                  <c:v>Desludging</c:v>
                </c:pt>
              </c:strCache>
            </c:strRef>
          </c:cat>
          <c:val>
            <c:numRef>
              <c:f>Analysis!$J$94:$J$96</c:f>
              <c:numCache>
                <c:formatCode>_(* #,##0_);_(* \(#,##0\);_(* "-"??_);_(@_)</c:formatCode>
                <c:ptCount val="3"/>
                <c:pt idx="0">
                  <c:v>4507</c:v>
                </c:pt>
                <c:pt idx="1">
                  <c:v>815</c:v>
                </c:pt>
                <c:pt idx="2">
                  <c:v>0</c:v>
                </c:pt>
              </c:numCache>
            </c:numRef>
          </c:val>
          <c:extLst>
            <c:ext xmlns:c16="http://schemas.microsoft.com/office/drawing/2014/chart" uri="{C3380CC4-5D6E-409C-BE32-E72D297353CC}">
              <c16:uniqueId val="{00000006-012E-4C70-8DE8-442D9164B4F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[20190813_Myanmar_WASH_4W_2019_Q2_Rakhine_camp_Consolidate_DRAFT.xlsx]Analysis!PivotTable14</c:name>
    <c:fmtId val="8"/>
  </c:pivotSource>
  <c:chart>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0" i="0" baseline="0">
                <a:effectLst/>
              </a:rPr>
              <a:t>WASH in Temporary Learning Spaces Rakhine</a:t>
            </a:r>
            <a:endParaRPr lang="en-US" sz="1200" b="0">
              <a:effectLst/>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0070C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75000"/>
            </a:schemeClr>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Analysis!$D$324</c:f>
              <c:strCache>
                <c:ptCount val="1"/>
                <c:pt idx="0">
                  <c:v># of latrines in TLS/CFS</c:v>
                </c:pt>
              </c:strCache>
            </c:strRef>
          </c:tx>
          <c:spPr>
            <a:solidFill>
              <a:schemeClr val="accent2">
                <a:lumMod val="75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Analysis!$C$325</c:f>
              <c:strCache>
                <c:ptCount val="1"/>
                <c:pt idx="0">
                  <c:v>Central Rakhine</c:v>
                </c:pt>
              </c:strCache>
            </c:strRef>
          </c:cat>
          <c:val>
            <c:numRef>
              <c:f>Analysis!$D$325</c:f>
              <c:numCache>
                <c:formatCode>_(* #,##0_);_(* \(#,##0\);_(* "-"??_);_(@_)</c:formatCode>
                <c:ptCount val="1"/>
                <c:pt idx="0">
                  <c:v>179</c:v>
                </c:pt>
              </c:numCache>
            </c:numRef>
          </c:val>
          <c:extLst>
            <c:ext xmlns:c16="http://schemas.microsoft.com/office/drawing/2014/chart" uri="{C3380CC4-5D6E-409C-BE32-E72D297353CC}">
              <c16:uniqueId val="{00000008-5B45-4B22-8259-D695C202ABB7}"/>
            </c:ext>
          </c:extLst>
        </c:ser>
        <c:ser>
          <c:idx val="1"/>
          <c:order val="1"/>
          <c:tx>
            <c:strRef>
              <c:f>Analysis!$E$324</c:f>
              <c:strCache>
                <c:ptCount val="1"/>
                <c:pt idx="0">
                  <c:v> # Functional water points in TLS/CFS</c:v>
                </c:pt>
              </c:strCache>
            </c:strRef>
          </c:tx>
          <c:spPr>
            <a:solidFill>
              <a:srgbClr val="0070C0"/>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Analysis!$C$325</c:f>
              <c:strCache>
                <c:ptCount val="1"/>
                <c:pt idx="0">
                  <c:v>Central Rakhine</c:v>
                </c:pt>
              </c:strCache>
            </c:strRef>
          </c:cat>
          <c:val>
            <c:numRef>
              <c:f>Analysis!$E$325</c:f>
              <c:numCache>
                <c:formatCode>_(* #,##0_);_(* \(#,##0\);_(* "-"??_);_(@_)</c:formatCode>
                <c:ptCount val="1"/>
                <c:pt idx="0">
                  <c:v>54</c:v>
                </c:pt>
              </c:numCache>
            </c:numRef>
          </c:val>
          <c:extLst>
            <c:ext xmlns:c16="http://schemas.microsoft.com/office/drawing/2014/chart" uri="{C3380CC4-5D6E-409C-BE32-E72D297353CC}">
              <c16:uniqueId val="{00000009-5B45-4B22-8259-D695C202ABB7}"/>
            </c:ext>
          </c:extLst>
        </c:ser>
        <c:dLbls>
          <c:dLblPos val="outEnd"/>
          <c:showLegendKey val="0"/>
          <c:showVal val="1"/>
          <c:showCatName val="0"/>
          <c:showSerName val="0"/>
          <c:showPercent val="0"/>
          <c:showBubbleSize val="0"/>
        </c:dLbls>
        <c:gapWidth val="115"/>
        <c:overlap val="-20"/>
        <c:axId val="395514816"/>
        <c:axId val="395517952"/>
      </c:barChart>
      <c:catAx>
        <c:axId val="395514816"/>
        <c:scaling>
          <c:orientation val="minMax"/>
        </c:scaling>
        <c:delete val="1"/>
        <c:axPos val="l"/>
        <c:numFmt formatCode="General" sourceLinked="1"/>
        <c:majorTickMark val="none"/>
        <c:minorTickMark val="none"/>
        <c:tickLblPos val="nextTo"/>
        <c:crossAx val="395517952"/>
        <c:crosses val="autoZero"/>
        <c:auto val="1"/>
        <c:lblAlgn val="ctr"/>
        <c:lblOffset val="100"/>
        <c:noMultiLvlLbl val="0"/>
      </c:catAx>
      <c:valAx>
        <c:axId val="395517952"/>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514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[20190813_Myanmar_WASH_4W_2019_Q2_Rakhine_camp_Consolidate_DRAFT.xlsx]Analysis!R_Geo</c:name>
    <c:fmtId val="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Rakhine - Number of Sites - Coverage/Gaps </a:t>
            </a:r>
          </a:p>
        </c:rich>
      </c:tx>
      <c:layout>
        <c:manualLayout>
          <c:xMode val="edge"/>
          <c:yMode val="edge"/>
          <c:x val="0.37496606587236875"/>
          <c:y val="3.1160771860866059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457810678834817"/>
          <c:y val="0.18660326982618372"/>
          <c:w val="0.7162328642427549"/>
          <c:h val="0.59374132694776072"/>
        </c:manualLayout>
      </c:layout>
      <c:barChart>
        <c:barDir val="bar"/>
        <c:grouping val="clustered"/>
        <c:varyColors val="0"/>
        <c:ser>
          <c:idx val="0"/>
          <c:order val="0"/>
          <c:tx>
            <c:strRef>
              <c:f>Analysis!$I$261:$I$262</c:f>
              <c:strCache>
                <c:ptCount val="1"/>
                <c:pt idx="0">
                  <c:v>Covered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Analysis!$H$263</c:f>
              <c:strCache>
                <c:ptCount val="1"/>
                <c:pt idx="0">
                  <c:v>Camp</c:v>
                </c:pt>
              </c:strCache>
            </c:strRef>
          </c:cat>
          <c:val>
            <c:numRef>
              <c:f>Analysis!$I$263</c:f>
              <c:numCache>
                <c:formatCode>General</c:formatCode>
                <c:ptCount val="1"/>
                <c:pt idx="0">
                  <c:v>25</c:v>
                </c:pt>
              </c:numCache>
            </c:numRef>
          </c:val>
          <c:extLst>
            <c:ext xmlns:c16="http://schemas.microsoft.com/office/drawing/2014/chart" uri="{C3380CC4-5D6E-409C-BE32-E72D297353CC}">
              <c16:uniqueId val="{00000000-DE4B-42CE-85B3-AC16FC5401A6}"/>
            </c:ext>
          </c:extLst>
        </c:ser>
        <c:dLbls>
          <c:showLegendKey val="0"/>
          <c:showVal val="0"/>
          <c:showCatName val="0"/>
          <c:showSerName val="0"/>
          <c:showPercent val="0"/>
          <c:showBubbleSize val="0"/>
        </c:dLbls>
        <c:gapWidth val="100"/>
        <c:axId val="395622536"/>
        <c:axId val="395628024"/>
      </c:barChart>
      <c:catAx>
        <c:axId val="39562253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628024"/>
        <c:crosses val="autoZero"/>
        <c:auto val="1"/>
        <c:lblAlgn val="ctr"/>
        <c:lblOffset val="100"/>
        <c:noMultiLvlLbl val="0"/>
      </c:catAx>
      <c:valAx>
        <c:axId val="395628024"/>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622536"/>
        <c:crosses val="autoZero"/>
        <c:crossBetween val="between"/>
      </c:valAx>
      <c:spPr>
        <a:noFill/>
        <a:ln>
          <a:noFill/>
        </a:ln>
        <a:effectLst/>
      </c:spPr>
    </c:plotArea>
    <c:legend>
      <c:legendPos val="r"/>
      <c:layout>
        <c:manualLayout>
          <c:xMode val="edge"/>
          <c:yMode val="edge"/>
          <c:x val="0.855541762360014"/>
          <c:y val="0.32719656311617756"/>
          <c:w val="0.12912079368545037"/>
          <c:h val="0.3108379274322614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[20190813_Myanmar_WASH_4W_2019_Q2_Rakhine_camp_Consolidate_DRAFT.xlsx]Analysis!W_R_C_G_C</c:name>
    <c:fmtId val="33"/>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b="1" i="0" baseline="0">
                <a:effectLst/>
              </a:rPr>
              <a:t>WATER Coverage VS GAP in Active camps</a:t>
            </a:r>
            <a:endParaRPr lang="en-US" sz="1200">
              <a:effectLst/>
            </a:endParaRPr>
          </a:p>
          <a:p>
            <a:pPr>
              <a:defRPr sz="1200"/>
            </a:pPr>
            <a:r>
              <a:rPr lang="en-US" sz="1200" b="1" i="0" baseline="0">
                <a:effectLst/>
              </a:rPr>
              <a:t>in Rakhine</a:t>
            </a:r>
            <a:endParaRPr lang="en-US" sz="1200">
              <a:effectLs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70C0"/>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Analysis!$C$78</c:f>
              <c:strCache>
                <c:ptCount val="1"/>
                <c:pt idx="0">
                  <c:v> % Water 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Analysis!$B$79:$B$83</c:f>
              <c:strCache>
                <c:ptCount val="5"/>
                <c:pt idx="0">
                  <c:v>Kyaukpyu</c:v>
                </c:pt>
                <c:pt idx="1">
                  <c:v>Kyauktaw</c:v>
                </c:pt>
                <c:pt idx="2">
                  <c:v>Myebon</c:v>
                </c:pt>
                <c:pt idx="3">
                  <c:v>Pauktaw</c:v>
                </c:pt>
                <c:pt idx="4">
                  <c:v>Sittwe</c:v>
                </c:pt>
              </c:strCache>
            </c:strRef>
          </c:cat>
          <c:val>
            <c:numRef>
              <c:f>Analysis!$C$79:$C$83</c:f>
              <c:numCache>
                <c:formatCode>0%</c:formatCode>
                <c:ptCount val="5"/>
                <c:pt idx="0">
                  <c:v>1</c:v>
                </c:pt>
                <c:pt idx="1">
                  <c:v>1</c:v>
                </c:pt>
                <c:pt idx="2">
                  <c:v>1</c:v>
                </c:pt>
                <c:pt idx="3">
                  <c:v>0.78404935837105416</c:v>
                </c:pt>
                <c:pt idx="4">
                  <c:v>1</c:v>
                </c:pt>
              </c:numCache>
            </c:numRef>
          </c:val>
          <c:extLst>
            <c:ext xmlns:c16="http://schemas.microsoft.com/office/drawing/2014/chart" uri="{C3380CC4-5D6E-409C-BE32-E72D297353CC}">
              <c16:uniqueId val="{00000000-F589-46E0-ADBB-024CFB5B8F62}"/>
            </c:ext>
          </c:extLst>
        </c:ser>
        <c:ser>
          <c:idx val="1"/>
          <c:order val="1"/>
          <c:tx>
            <c:strRef>
              <c:f>Analysis!$D$78</c:f>
              <c:strCache>
                <c:ptCount val="1"/>
                <c:pt idx="0">
                  <c:v> % Water GAP</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Analysis!$B$79:$B$83</c:f>
              <c:strCache>
                <c:ptCount val="5"/>
                <c:pt idx="0">
                  <c:v>Kyaukpyu</c:v>
                </c:pt>
                <c:pt idx="1">
                  <c:v>Kyauktaw</c:v>
                </c:pt>
                <c:pt idx="2">
                  <c:v>Myebon</c:v>
                </c:pt>
                <c:pt idx="3">
                  <c:v>Pauktaw</c:v>
                </c:pt>
                <c:pt idx="4">
                  <c:v>Sittwe</c:v>
                </c:pt>
              </c:strCache>
            </c:strRef>
          </c:cat>
          <c:val>
            <c:numRef>
              <c:f>Analysis!$D$79:$D$83</c:f>
              <c:numCache>
                <c:formatCode>0%</c:formatCode>
                <c:ptCount val="5"/>
                <c:pt idx="0">
                  <c:v>0</c:v>
                </c:pt>
                <c:pt idx="1">
                  <c:v>0</c:v>
                </c:pt>
                <c:pt idx="2">
                  <c:v>0</c:v>
                </c:pt>
                <c:pt idx="3">
                  <c:v>0.21595064162894584</c:v>
                </c:pt>
                <c:pt idx="4">
                  <c:v>0</c:v>
                </c:pt>
              </c:numCache>
            </c:numRef>
          </c:val>
          <c:extLst>
            <c:ext xmlns:c16="http://schemas.microsoft.com/office/drawing/2014/chart" uri="{C3380CC4-5D6E-409C-BE32-E72D297353CC}">
              <c16:uniqueId val="{00000001-F589-46E0-ADBB-024CFB5B8F62}"/>
            </c:ext>
          </c:extLst>
        </c:ser>
        <c:dLbls>
          <c:showLegendKey val="0"/>
          <c:showVal val="0"/>
          <c:showCatName val="0"/>
          <c:showSerName val="0"/>
          <c:showPercent val="0"/>
          <c:showBubbleSize val="0"/>
        </c:dLbls>
        <c:gapWidth val="150"/>
        <c:overlap val="100"/>
        <c:axId val="395620968"/>
        <c:axId val="395626064"/>
      </c:barChart>
      <c:catAx>
        <c:axId val="3956209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5626064"/>
        <c:crosses val="autoZero"/>
        <c:auto val="1"/>
        <c:lblAlgn val="ctr"/>
        <c:lblOffset val="100"/>
        <c:noMultiLvlLbl val="0"/>
      </c:catAx>
      <c:valAx>
        <c:axId val="39562606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5620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[20190813_Myanmar_WASH_4W_2019_Q2_Rakhine_camp_Consolidate_DRAFT.xlsx]Analysis!K_L_CG_N</c:name>
    <c:fmtId val="3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 VS GAP in active Camps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accent2">
              <a:lumMod val="75000"/>
            </a:schemeClr>
          </a:solidFill>
          <a:ln>
            <a:noFill/>
          </a:ln>
          <a:effectLst/>
        </c:spPr>
        <c:marker>
          <c:symbol val="none"/>
        </c:marker>
      </c:pivotFmt>
      <c:pivotFmt>
        <c:idx val="1"/>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Analysis!$C$158</c:f>
              <c:strCache>
                <c:ptCount val="1"/>
                <c:pt idx="0">
                  <c:v>  % Latrine Coverage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Analysis!$B$159:$B$163</c:f>
              <c:strCache>
                <c:ptCount val="5"/>
                <c:pt idx="0">
                  <c:v>Kyaukpyu</c:v>
                </c:pt>
                <c:pt idx="1">
                  <c:v>Kyauktaw</c:v>
                </c:pt>
                <c:pt idx="2">
                  <c:v>Myebon</c:v>
                </c:pt>
                <c:pt idx="3">
                  <c:v>Pauktaw</c:v>
                </c:pt>
                <c:pt idx="4">
                  <c:v>Sittwe</c:v>
                </c:pt>
              </c:strCache>
            </c:strRef>
          </c:cat>
          <c:val>
            <c:numRef>
              <c:f>Analysis!$C$159:$C$163</c:f>
              <c:numCache>
                <c:formatCode>0%</c:formatCode>
                <c:ptCount val="5"/>
                <c:pt idx="0">
                  <c:v>1</c:v>
                </c:pt>
                <c:pt idx="1">
                  <c:v>1</c:v>
                </c:pt>
                <c:pt idx="2">
                  <c:v>1</c:v>
                </c:pt>
                <c:pt idx="3">
                  <c:v>0.71532290592927894</c:v>
                </c:pt>
                <c:pt idx="4">
                  <c:v>0.76041677949028996</c:v>
                </c:pt>
              </c:numCache>
            </c:numRef>
          </c:val>
          <c:extLst>
            <c:ext xmlns:c16="http://schemas.microsoft.com/office/drawing/2014/chart" uri="{C3380CC4-5D6E-409C-BE32-E72D297353CC}">
              <c16:uniqueId val="{00000000-F99F-4557-A458-50628E33D7BD}"/>
            </c:ext>
          </c:extLst>
        </c:ser>
        <c:ser>
          <c:idx val="1"/>
          <c:order val="1"/>
          <c:tx>
            <c:strRef>
              <c:f>Analysis!$D$158</c:f>
              <c:strCache>
                <c:ptCount val="1"/>
                <c:pt idx="0">
                  <c:v>  % Latrine GAP</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Analysis!$B$159:$B$163</c:f>
              <c:strCache>
                <c:ptCount val="5"/>
                <c:pt idx="0">
                  <c:v>Kyaukpyu</c:v>
                </c:pt>
                <c:pt idx="1">
                  <c:v>Kyauktaw</c:v>
                </c:pt>
                <c:pt idx="2">
                  <c:v>Myebon</c:v>
                </c:pt>
                <c:pt idx="3">
                  <c:v>Pauktaw</c:v>
                </c:pt>
                <c:pt idx="4">
                  <c:v>Sittwe</c:v>
                </c:pt>
              </c:strCache>
            </c:strRef>
          </c:cat>
          <c:val>
            <c:numRef>
              <c:f>Analysis!$D$159:$D$163</c:f>
              <c:numCache>
                <c:formatCode>0%</c:formatCode>
                <c:ptCount val="5"/>
                <c:pt idx="0">
                  <c:v>0</c:v>
                </c:pt>
                <c:pt idx="1">
                  <c:v>0</c:v>
                </c:pt>
                <c:pt idx="2">
                  <c:v>0</c:v>
                </c:pt>
                <c:pt idx="3">
                  <c:v>0.28467709407072106</c:v>
                </c:pt>
                <c:pt idx="4">
                  <c:v>0.23958322050971004</c:v>
                </c:pt>
              </c:numCache>
            </c:numRef>
          </c:val>
          <c:extLst>
            <c:ext xmlns:c16="http://schemas.microsoft.com/office/drawing/2014/chart" uri="{C3380CC4-5D6E-409C-BE32-E72D297353CC}">
              <c16:uniqueId val="{00000001-F99F-4557-A458-50628E33D7BD}"/>
            </c:ext>
          </c:extLst>
        </c:ser>
        <c:dLbls>
          <c:showLegendKey val="0"/>
          <c:showVal val="0"/>
          <c:showCatName val="0"/>
          <c:showSerName val="0"/>
          <c:showPercent val="0"/>
          <c:showBubbleSize val="0"/>
        </c:dLbls>
        <c:gapWidth val="150"/>
        <c:overlap val="100"/>
        <c:axId val="414770648"/>
        <c:axId val="414773392"/>
      </c:barChart>
      <c:catAx>
        <c:axId val="4147706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4773392"/>
        <c:crosses val="autoZero"/>
        <c:auto val="1"/>
        <c:lblAlgn val="ctr"/>
        <c:lblOffset val="100"/>
        <c:noMultiLvlLbl val="0"/>
      </c:catAx>
      <c:valAx>
        <c:axId val="41477339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4770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[20190813_Myanmar_WASH_4W_2019_Q2_Rakhine_camp_Consolidate_DRAFT.xlsx]Analysis!K_H_CG_C</c:name>
    <c:fmtId val="3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Hygiene Coverage VS GAP in active camps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081952105979136E-2"/>
          <c:y val="0.24271399053609838"/>
          <c:w val="0.88637979901754527"/>
          <c:h val="0.43678904961231607"/>
        </c:manualLayout>
      </c:layout>
      <c:barChart>
        <c:barDir val="col"/>
        <c:grouping val="percentStacked"/>
        <c:varyColors val="0"/>
        <c:ser>
          <c:idx val="0"/>
          <c:order val="0"/>
          <c:tx>
            <c:strRef>
              <c:f>Analysis!$C$216</c:f>
              <c:strCache>
                <c:ptCount val="1"/>
                <c:pt idx="0">
                  <c:v>  % Hygiene Coverage</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Analysis!$B$217:$B$221</c:f>
              <c:strCache>
                <c:ptCount val="5"/>
                <c:pt idx="0">
                  <c:v>Kyaukpyu</c:v>
                </c:pt>
                <c:pt idx="1">
                  <c:v>Kyauktaw</c:v>
                </c:pt>
                <c:pt idx="2">
                  <c:v>Myebon</c:v>
                </c:pt>
                <c:pt idx="3">
                  <c:v>Pauktaw</c:v>
                </c:pt>
                <c:pt idx="4">
                  <c:v>Sittwe</c:v>
                </c:pt>
              </c:strCache>
            </c:strRef>
          </c:cat>
          <c:val>
            <c:numRef>
              <c:f>Analysis!$C$217:$C$221</c:f>
              <c:numCache>
                <c:formatCode>0%</c:formatCode>
                <c:ptCount val="5"/>
                <c:pt idx="0">
                  <c:v>1</c:v>
                </c:pt>
                <c:pt idx="1">
                  <c:v>0</c:v>
                </c:pt>
                <c:pt idx="2">
                  <c:v>1</c:v>
                </c:pt>
                <c:pt idx="3">
                  <c:v>1</c:v>
                </c:pt>
                <c:pt idx="4">
                  <c:v>0.99766048934764473</c:v>
                </c:pt>
              </c:numCache>
            </c:numRef>
          </c:val>
          <c:extLst>
            <c:ext xmlns:c16="http://schemas.microsoft.com/office/drawing/2014/chart" uri="{C3380CC4-5D6E-409C-BE32-E72D297353CC}">
              <c16:uniqueId val="{00000000-5DFC-438A-ABBE-2CAA5A699420}"/>
            </c:ext>
          </c:extLst>
        </c:ser>
        <c:ser>
          <c:idx val="1"/>
          <c:order val="1"/>
          <c:tx>
            <c:strRef>
              <c:f>Analysis!$D$216</c:f>
              <c:strCache>
                <c:ptCount val="1"/>
                <c:pt idx="0">
                  <c:v>  % Hygiene Gap</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Analysis!$B$217:$B$221</c:f>
              <c:strCache>
                <c:ptCount val="5"/>
                <c:pt idx="0">
                  <c:v>Kyaukpyu</c:v>
                </c:pt>
                <c:pt idx="1">
                  <c:v>Kyauktaw</c:v>
                </c:pt>
                <c:pt idx="2">
                  <c:v>Myebon</c:v>
                </c:pt>
                <c:pt idx="3">
                  <c:v>Pauktaw</c:v>
                </c:pt>
                <c:pt idx="4">
                  <c:v>Sittwe</c:v>
                </c:pt>
              </c:strCache>
            </c:strRef>
          </c:cat>
          <c:val>
            <c:numRef>
              <c:f>Analysis!$D$217:$D$221</c:f>
              <c:numCache>
                <c:formatCode>0%</c:formatCode>
                <c:ptCount val="5"/>
                <c:pt idx="0">
                  <c:v>0</c:v>
                </c:pt>
                <c:pt idx="1">
                  <c:v>1</c:v>
                </c:pt>
                <c:pt idx="2">
                  <c:v>0</c:v>
                </c:pt>
                <c:pt idx="3">
                  <c:v>0</c:v>
                </c:pt>
                <c:pt idx="4">
                  <c:v>2.33951065235527E-3</c:v>
                </c:pt>
              </c:numCache>
            </c:numRef>
          </c:val>
          <c:extLst>
            <c:ext xmlns:c16="http://schemas.microsoft.com/office/drawing/2014/chart" uri="{C3380CC4-5D6E-409C-BE32-E72D297353CC}">
              <c16:uniqueId val="{00000001-5DFC-438A-ABBE-2CAA5A699420}"/>
            </c:ext>
          </c:extLst>
        </c:ser>
        <c:dLbls>
          <c:showLegendKey val="0"/>
          <c:showVal val="0"/>
          <c:showCatName val="0"/>
          <c:showSerName val="0"/>
          <c:showPercent val="0"/>
          <c:showBubbleSize val="0"/>
        </c:dLbls>
        <c:gapWidth val="150"/>
        <c:overlap val="100"/>
        <c:axId val="415877056"/>
        <c:axId val="415879016"/>
      </c:barChart>
      <c:catAx>
        <c:axId val="4158770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2"/>
                </a:solidFill>
                <a:latin typeface="+mn-lt"/>
                <a:ea typeface="+mn-ea"/>
                <a:cs typeface="+mn-cs"/>
              </a:defRPr>
            </a:pPr>
            <a:endParaRPr lang="en-US"/>
          </a:p>
        </c:txPr>
        <c:crossAx val="415879016"/>
        <c:crosses val="autoZero"/>
        <c:auto val="1"/>
        <c:lblAlgn val="ctr"/>
        <c:lblOffset val="100"/>
        <c:noMultiLvlLbl val="0"/>
      </c:catAx>
      <c:valAx>
        <c:axId val="41587901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77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Sites with TLS/CFS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0256167979002624"/>
          <c:y val="0.19226669582968794"/>
          <c:w val="0.41987685914260719"/>
          <c:h val="0.69979476523767858"/>
        </c:manualLayout>
      </c:layout>
      <c:pieChart>
        <c:varyColors val="1"/>
        <c:ser>
          <c:idx val="0"/>
          <c:order val="0"/>
          <c:tx>
            <c:strRef>
              <c:f>Analysis!$C$348</c:f>
              <c:strCache>
                <c:ptCount val="1"/>
                <c:pt idx="0">
                  <c:v>Central Rakhine</c:v>
                </c:pt>
              </c:strCache>
            </c:strRef>
          </c:tx>
          <c:dPt>
            <c:idx val="0"/>
            <c:bubble3D val="0"/>
            <c:spPr>
              <a:solidFill>
                <a:schemeClr val="bg1">
                  <a:lumMod val="75000"/>
                </a:schemeClr>
              </a:solidFill>
              <a:ln>
                <a:noFill/>
              </a:ln>
              <a:effectLst/>
            </c:spPr>
            <c:extLst xmlns:c15="http://schemas.microsoft.com/office/drawing/2012/chart">
              <c:ext xmlns:c16="http://schemas.microsoft.com/office/drawing/2014/chart" uri="{C3380CC4-5D6E-409C-BE32-E72D297353CC}">
                <c16:uniqueId val="{00000001-5885-4C62-ACA7-9F665E189B76}"/>
              </c:ext>
            </c:extLst>
          </c:dPt>
          <c:dPt>
            <c:idx val="1"/>
            <c:bubble3D val="0"/>
            <c:spPr>
              <a:solidFill>
                <a:schemeClr val="tx1">
                  <a:lumMod val="65000"/>
                  <a:lumOff val="35000"/>
                </a:schemeClr>
              </a:solidFill>
              <a:ln>
                <a:noFill/>
              </a:ln>
              <a:effectLst/>
            </c:spPr>
            <c:extLst xmlns:c15="http://schemas.microsoft.com/office/drawing/2012/chart">
              <c:ext xmlns:c16="http://schemas.microsoft.com/office/drawing/2014/chart" uri="{C3380CC4-5D6E-409C-BE32-E72D297353CC}">
                <c16:uniqueId val="{00000003-5885-4C62-ACA7-9F665E189B7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Analysis!$D$347:$E$347</c:f>
              <c:strCache>
                <c:ptCount val="2"/>
                <c:pt idx="0">
                  <c:v>Yes</c:v>
                </c:pt>
                <c:pt idx="1">
                  <c:v>No</c:v>
                </c:pt>
              </c:strCache>
            </c:strRef>
          </c:cat>
          <c:val>
            <c:numRef>
              <c:f>Analysis!$D$348:$E$348</c:f>
              <c:numCache>
                <c:formatCode>0%</c:formatCode>
                <c:ptCount val="2"/>
                <c:pt idx="0">
                  <c:v>0.92</c:v>
                </c:pt>
                <c:pt idx="1">
                  <c:v>0.08</c:v>
                </c:pt>
              </c:numCache>
            </c:numRef>
          </c:val>
          <c:extLst xmlns:c15="http://schemas.microsoft.com/office/drawing/2012/chart">
            <c:ext xmlns:c16="http://schemas.microsoft.com/office/drawing/2014/chart" uri="{C3380CC4-5D6E-409C-BE32-E72D297353CC}">
              <c16:uniqueId val="{00000004-5885-4C62-ACA7-9F665E189B76}"/>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b="1" i="0" baseline="0">
                <a:effectLst/>
              </a:rPr>
              <a:t>% of Sites which made water quality test </a:t>
            </a:r>
            <a:endParaRPr lang="en-US" sz="1200">
              <a:effectLst/>
            </a:endParaRPr>
          </a:p>
          <a:p>
            <a:pPr>
              <a:defRPr sz="1200"/>
            </a:pPr>
            <a:r>
              <a:rPr lang="en-US" sz="1200" b="1" i="0" baseline="0">
                <a:effectLst/>
              </a:rPr>
              <a:t>at water sources</a:t>
            </a:r>
          </a:p>
        </c:rich>
      </c:tx>
      <c:layout>
        <c:manualLayout>
          <c:xMode val="edge"/>
          <c:yMode val="edge"/>
          <c:x val="0.18731142302864315"/>
          <c:y val="2.861230329041487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8683281981056713"/>
          <c:y val="0.31795388237414529"/>
          <c:w val="0.314710487276047"/>
          <c:h val="0.62131684183253921"/>
        </c:manualLayout>
      </c:layout>
      <c:pieChart>
        <c:varyColors val="1"/>
        <c:ser>
          <c:idx val="0"/>
          <c:order val="0"/>
          <c:tx>
            <c:strRef>
              <c:f>Analysis!$H$45</c:f>
              <c:strCache>
                <c:ptCount val="1"/>
                <c:pt idx="0">
                  <c:v>Central Rakhine</c:v>
                </c:pt>
              </c:strCache>
            </c:strRef>
          </c:tx>
          <c:dPt>
            <c:idx val="0"/>
            <c:bubble3D val="0"/>
            <c:spPr>
              <a:solidFill>
                <a:srgbClr val="0070C0"/>
              </a:solidFill>
              <a:ln>
                <a:noFill/>
              </a:ln>
              <a:effectLst/>
            </c:spPr>
            <c:extLst xmlns:c15="http://schemas.microsoft.com/office/drawing/2012/chart">
              <c:ext xmlns:c16="http://schemas.microsoft.com/office/drawing/2014/chart" uri="{C3380CC4-5D6E-409C-BE32-E72D297353CC}">
                <c16:uniqueId val="{00000001-9C49-4C1F-9CF3-A8BFF8AF6F8A}"/>
              </c:ext>
            </c:extLst>
          </c:dPt>
          <c:dPt>
            <c:idx val="1"/>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3-9C49-4C1F-9CF3-A8BFF8AF6F8A}"/>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9C49-4C1F-9CF3-A8BFF8AF6F8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Analysis!$J$44:$K$44</c:f>
              <c:strCache>
                <c:ptCount val="2"/>
                <c:pt idx="0">
                  <c:v>Tested</c:v>
                </c:pt>
                <c:pt idx="1">
                  <c:v>No Test</c:v>
                </c:pt>
              </c:strCache>
            </c:strRef>
          </c:cat>
          <c:val>
            <c:numRef>
              <c:f>Analysis!$J$45:$K$45</c:f>
              <c:numCache>
                <c:formatCode>0</c:formatCode>
                <c:ptCount val="2"/>
                <c:pt idx="0" formatCode="General">
                  <c:v>16</c:v>
                </c:pt>
                <c:pt idx="1">
                  <c:v>9</c:v>
                </c:pt>
              </c:numCache>
            </c:numRef>
          </c:val>
          <c:extLst xmlns:c15="http://schemas.microsoft.com/office/drawing/2012/chart">
            <c:ext xmlns:c16="http://schemas.microsoft.com/office/drawing/2014/chart" uri="{C3380CC4-5D6E-409C-BE32-E72D297353CC}">
              <c16:uniqueId val="{00000004-9C49-4C1F-9CF3-A8BFF8AF6F8A}"/>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Water</a:t>
            </a:r>
            <a:r>
              <a:rPr lang="en-US" sz="1400" baseline="0"/>
              <a:t> Source Testing &amp; Treated</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col"/>
        <c:grouping val="percentStacked"/>
        <c:varyColors val="0"/>
        <c:ser>
          <c:idx val="0"/>
          <c:order val="0"/>
          <c:tx>
            <c:strRef>
              <c:f>Analysis!$L$44</c:f>
              <c:strCache>
                <c:ptCount val="1"/>
                <c:pt idx="0">
                  <c:v># Tested</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Analysis!$H$45</c:f>
              <c:strCache>
                <c:ptCount val="1"/>
                <c:pt idx="0">
                  <c:v>Central Rakhine</c:v>
                </c:pt>
              </c:strCache>
            </c:strRef>
          </c:cat>
          <c:val>
            <c:numRef>
              <c:f>Analysis!$L$45</c:f>
              <c:numCache>
                <c:formatCode>General</c:formatCode>
                <c:ptCount val="1"/>
                <c:pt idx="0">
                  <c:v>1083</c:v>
                </c:pt>
              </c:numCache>
            </c:numRef>
          </c:val>
          <c:extLst>
            <c:ext xmlns:c16="http://schemas.microsoft.com/office/drawing/2014/chart" uri="{C3380CC4-5D6E-409C-BE32-E72D297353CC}">
              <c16:uniqueId val="{00000000-F935-4EB7-A6DD-5FF2CD715C68}"/>
            </c:ext>
          </c:extLst>
        </c:ser>
        <c:ser>
          <c:idx val="1"/>
          <c:order val="1"/>
          <c:tx>
            <c:strRef>
              <c:f>Analysis!$M$44</c:f>
              <c:strCache>
                <c:ptCount val="1"/>
                <c:pt idx="0">
                  <c:v> # Passed</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Analysis!$H$45</c:f>
              <c:strCache>
                <c:ptCount val="1"/>
                <c:pt idx="0">
                  <c:v>Central Rakhine</c:v>
                </c:pt>
              </c:strCache>
            </c:strRef>
          </c:cat>
          <c:val>
            <c:numRef>
              <c:f>Analysis!$M$45</c:f>
              <c:numCache>
                <c:formatCode>General</c:formatCode>
                <c:ptCount val="1"/>
                <c:pt idx="0">
                  <c:v>693</c:v>
                </c:pt>
              </c:numCache>
            </c:numRef>
          </c:val>
          <c:extLst>
            <c:ext xmlns:c16="http://schemas.microsoft.com/office/drawing/2014/chart" uri="{C3380CC4-5D6E-409C-BE32-E72D297353CC}">
              <c16:uniqueId val="{00000000-807E-4A2B-9682-E62213B486D8}"/>
            </c:ext>
          </c:extLst>
        </c:ser>
        <c:dLbls>
          <c:showLegendKey val="0"/>
          <c:showVal val="0"/>
          <c:showCatName val="0"/>
          <c:showSerName val="0"/>
          <c:showPercent val="0"/>
          <c:showBubbleSize val="0"/>
        </c:dLbls>
        <c:gapWidth val="150"/>
        <c:overlap val="100"/>
        <c:axId val="1332863680"/>
        <c:axId val="1335493040"/>
      </c:barChart>
      <c:catAx>
        <c:axId val="13328636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35493040"/>
        <c:crosses val="autoZero"/>
        <c:auto val="1"/>
        <c:lblAlgn val="ctr"/>
        <c:lblOffset val="100"/>
        <c:noMultiLvlLbl val="0"/>
      </c:catAx>
      <c:valAx>
        <c:axId val="1335493040"/>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32863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Number of targeted women, men, boys and girls benefitting from a functional excreta disposal system, reducing safety/public health/environmental risks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6299611433187358"/>
          <c:y val="0.19293936967452446"/>
          <c:w val="0.7620820099429455"/>
          <c:h val="0.58049472233895127"/>
        </c:manualLayout>
      </c:layout>
      <c:barChart>
        <c:barDir val="bar"/>
        <c:grouping val="percentStacked"/>
        <c:varyColors val="0"/>
        <c:ser>
          <c:idx val="1"/>
          <c:order val="1"/>
          <c:tx>
            <c:strRef>
              <c:f>HRP!$D$48</c:f>
              <c:strCache>
                <c:ptCount val="1"/>
                <c:pt idx="0">
                  <c:v>Coverage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HRP!$B$49:$B$49</c:f>
              <c:strCache>
                <c:ptCount val="1"/>
                <c:pt idx="0">
                  <c:v> Central Rakhine </c:v>
                </c:pt>
              </c:strCache>
            </c:strRef>
          </c:cat>
          <c:val>
            <c:numRef>
              <c:f>HRP!$D$49:$D$49</c:f>
              <c:numCache>
                <c:formatCode>_(* #,##0_);_(* \(#,##0\);_(* "-"??_);_(@_)</c:formatCode>
                <c:ptCount val="1"/>
                <c:pt idx="0">
                  <c:v>90648</c:v>
                </c:pt>
              </c:numCache>
            </c:numRef>
          </c:val>
          <c:extLst>
            <c:ext xmlns:c16="http://schemas.microsoft.com/office/drawing/2014/chart" uri="{C3380CC4-5D6E-409C-BE32-E72D297353CC}">
              <c16:uniqueId val="{00000001-BE9A-4C55-91C4-9996C6CCA354}"/>
            </c:ext>
          </c:extLst>
        </c:ser>
        <c:ser>
          <c:idx val="2"/>
          <c:order val="2"/>
          <c:tx>
            <c:strRef>
              <c:f>HRP!$E$48</c:f>
              <c:strCache>
                <c:ptCount val="1"/>
                <c:pt idx="0">
                  <c:v>Gap</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HRP!$B$49:$B$49</c:f>
              <c:strCache>
                <c:ptCount val="1"/>
                <c:pt idx="0">
                  <c:v> Central Rakhine </c:v>
                </c:pt>
              </c:strCache>
            </c:strRef>
          </c:cat>
          <c:val>
            <c:numRef>
              <c:f>HRP!$E$49:$E$49</c:f>
              <c:numCache>
                <c:formatCode>_(* #,##0_);_(* \(#,##0\);_(* "-"??_);_(@_)</c:formatCode>
                <c:ptCount val="1"/>
                <c:pt idx="0">
                  <c:v>163824</c:v>
                </c:pt>
              </c:numCache>
            </c:numRef>
          </c:val>
          <c:extLst>
            <c:ext xmlns:c16="http://schemas.microsoft.com/office/drawing/2014/chart" uri="{C3380CC4-5D6E-409C-BE32-E72D297353CC}">
              <c16:uniqueId val="{00000002-BE9A-4C55-91C4-9996C6CCA354}"/>
            </c:ext>
          </c:extLst>
        </c:ser>
        <c:dLbls>
          <c:showLegendKey val="0"/>
          <c:showVal val="0"/>
          <c:showCatName val="0"/>
          <c:showSerName val="0"/>
          <c:showPercent val="0"/>
          <c:showBubbleSize val="0"/>
        </c:dLbls>
        <c:gapWidth val="150"/>
        <c:overlap val="100"/>
        <c:axId val="390219480"/>
        <c:axId val="390217128"/>
        <c:extLst>
          <c:ext xmlns:c15="http://schemas.microsoft.com/office/drawing/2012/chart" uri="{02D57815-91ED-43cb-92C2-25804820EDAC}">
            <c15:filteredBarSeries>
              <c15:ser>
                <c:idx val="0"/>
                <c:order val="0"/>
                <c:tx>
                  <c:strRef>
                    <c:extLst>
                      <c:ext uri="{02D57815-91ED-43cb-92C2-25804820EDAC}">
                        <c15:formulaRef>
                          <c15:sqref>HRP!$C$48</c15:sqref>
                        </c15:formulaRef>
                      </c:ext>
                    </c:extLst>
                    <c:strCache>
                      <c:ptCount val="1"/>
                      <c:pt idx="0">
                        <c:v>Target</c:v>
                      </c:pt>
                    </c:strCache>
                  </c:strRef>
                </c:tx>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a:noFill/>
                  </a:ln>
                  <a:effectLst/>
                </c:spPr>
                <c:invertIfNegative val="0"/>
                <c:cat>
                  <c:strRef>
                    <c:extLst>
                      <c:ext uri="{02D57815-91ED-43cb-92C2-25804820EDAC}">
                        <c15:formulaRef>
                          <c15:sqref>HRP!$B$49:$B$49</c15:sqref>
                        </c15:formulaRef>
                      </c:ext>
                    </c:extLst>
                    <c:strCache>
                      <c:ptCount val="1"/>
                      <c:pt idx="0">
                        <c:v> Central Rakhine </c:v>
                      </c:pt>
                    </c:strCache>
                  </c:strRef>
                </c:cat>
                <c:val>
                  <c:numRef>
                    <c:extLst>
                      <c:ext uri="{02D57815-91ED-43cb-92C2-25804820EDAC}">
                        <c15:formulaRef>
                          <c15:sqref>HRP!$C$49:$C$49</c15:sqref>
                        </c15:formulaRef>
                      </c:ext>
                    </c:extLst>
                    <c:numCache>
                      <c:formatCode>_(* #,##0_);_(* \(#,##0\);_(* "-"??_);_(@_)</c:formatCode>
                      <c:ptCount val="1"/>
                      <c:pt idx="0">
                        <c:v>254472</c:v>
                      </c:pt>
                    </c:numCache>
                  </c:numRef>
                </c:val>
                <c:extLst>
                  <c:ext xmlns:c16="http://schemas.microsoft.com/office/drawing/2014/chart" uri="{C3380CC4-5D6E-409C-BE32-E72D297353CC}">
                    <c16:uniqueId val="{00000000-BE9A-4C55-91C4-9996C6CCA354}"/>
                  </c:ext>
                </c:extLst>
              </c15:ser>
            </c15:filteredBarSeries>
          </c:ext>
        </c:extLst>
      </c:barChart>
      <c:catAx>
        <c:axId val="39021948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7128"/>
        <c:crosses val="autoZero"/>
        <c:auto val="1"/>
        <c:lblAlgn val="ctr"/>
        <c:lblOffset val="100"/>
        <c:noMultiLvlLbl val="0"/>
      </c:catAx>
      <c:valAx>
        <c:axId val="39021712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9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sz="1400" b="1" i="0" baseline="0">
                <a:effectLst/>
              </a:rPr>
              <a:t>% of Sites which made water quality test </a:t>
            </a:r>
            <a:endParaRPr lang="en-US" sz="1400">
              <a:effectLst/>
            </a:endParaRPr>
          </a:p>
          <a:p>
            <a:pPr>
              <a:defRPr/>
            </a:pPr>
            <a:r>
              <a:rPr lang="en-US" sz="1400" b="1" i="0" baseline="0">
                <a:effectLst/>
              </a:rPr>
              <a:t>at household</a:t>
            </a:r>
            <a:endParaRPr lang="en-US" sz="1400">
              <a:effectLst/>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3691086408316606"/>
          <c:y val="0.32351942849249105"/>
          <c:w val="0.35232232000411712"/>
          <c:h val="0.54040416000631497"/>
        </c:manualLayout>
      </c:layout>
      <c:pieChart>
        <c:varyColors val="1"/>
        <c:ser>
          <c:idx val="0"/>
          <c:order val="0"/>
          <c:tx>
            <c:strRef>
              <c:f>Analysis!$V$45</c:f>
              <c:strCache>
                <c:ptCount val="1"/>
                <c:pt idx="0">
                  <c:v>Central Rakhine</c:v>
                </c:pt>
              </c:strCache>
            </c:strRef>
          </c:tx>
          <c:dPt>
            <c:idx val="0"/>
            <c:bubble3D val="0"/>
            <c:spPr>
              <a:solidFill>
                <a:srgbClr val="0070C0"/>
              </a:solidFill>
              <a:ln>
                <a:noFill/>
              </a:ln>
              <a:effectLst/>
            </c:spPr>
            <c:extLst xmlns:c15="http://schemas.microsoft.com/office/drawing/2012/chart">
              <c:ext xmlns:c16="http://schemas.microsoft.com/office/drawing/2014/chart" uri="{C3380CC4-5D6E-409C-BE32-E72D297353CC}">
                <c16:uniqueId val="{00000001-F67F-4308-B23B-444726290637}"/>
              </c:ext>
            </c:extLst>
          </c:dPt>
          <c:dPt>
            <c:idx val="1"/>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3-F67F-4308-B23B-444726290637}"/>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F67F-4308-B23B-4447262906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Analysis!$X$44:$Y$44</c:f>
              <c:strCache>
                <c:ptCount val="2"/>
                <c:pt idx="0">
                  <c:v>Tested</c:v>
                </c:pt>
                <c:pt idx="1">
                  <c:v>No test</c:v>
                </c:pt>
              </c:strCache>
            </c:strRef>
          </c:cat>
          <c:val>
            <c:numRef>
              <c:f>Analysis!$X$45:$Y$45</c:f>
              <c:numCache>
                <c:formatCode>General</c:formatCode>
                <c:ptCount val="2"/>
                <c:pt idx="0">
                  <c:v>13</c:v>
                </c:pt>
                <c:pt idx="1">
                  <c:v>12</c:v>
                </c:pt>
              </c:numCache>
            </c:numRef>
          </c:val>
          <c:extLst xmlns:c15="http://schemas.microsoft.com/office/drawing/2012/chart">
            <c:ext xmlns:c16="http://schemas.microsoft.com/office/drawing/2014/chart" uri="{C3380CC4-5D6E-409C-BE32-E72D297353CC}">
              <c16:uniqueId val="{00000004-F67F-4308-B23B-444726290637}"/>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Household Testing &amp; Treated</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col"/>
        <c:grouping val="percentStacked"/>
        <c:varyColors val="0"/>
        <c:ser>
          <c:idx val="0"/>
          <c:order val="0"/>
          <c:tx>
            <c:strRef>
              <c:f>Analysis!$Z$44</c:f>
              <c:strCache>
                <c:ptCount val="1"/>
                <c:pt idx="0">
                  <c:v> # Tested</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Analysis!$V$45</c:f>
              <c:strCache>
                <c:ptCount val="1"/>
                <c:pt idx="0">
                  <c:v>Central Rakhine</c:v>
                </c:pt>
              </c:strCache>
            </c:strRef>
          </c:cat>
          <c:val>
            <c:numRef>
              <c:f>Analysis!$Z$45</c:f>
              <c:numCache>
                <c:formatCode>General</c:formatCode>
                <c:ptCount val="1"/>
                <c:pt idx="0">
                  <c:v>811</c:v>
                </c:pt>
              </c:numCache>
            </c:numRef>
          </c:val>
          <c:extLst>
            <c:ext xmlns:c16="http://schemas.microsoft.com/office/drawing/2014/chart" uri="{C3380CC4-5D6E-409C-BE32-E72D297353CC}">
              <c16:uniqueId val="{00000000-A528-4231-8455-2E23C4C4DBA8}"/>
            </c:ext>
          </c:extLst>
        </c:ser>
        <c:ser>
          <c:idx val="1"/>
          <c:order val="1"/>
          <c:tx>
            <c:strRef>
              <c:f>Analysis!$AA$44</c:f>
              <c:strCache>
                <c:ptCount val="1"/>
                <c:pt idx="0">
                  <c:v> # Passed</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Analysis!$V$45</c:f>
              <c:strCache>
                <c:ptCount val="1"/>
                <c:pt idx="0">
                  <c:v>Central Rakhine</c:v>
                </c:pt>
              </c:strCache>
            </c:strRef>
          </c:cat>
          <c:val>
            <c:numRef>
              <c:f>Analysis!$AA$45</c:f>
              <c:numCache>
                <c:formatCode>General</c:formatCode>
                <c:ptCount val="1"/>
                <c:pt idx="0">
                  <c:v>11</c:v>
                </c:pt>
              </c:numCache>
            </c:numRef>
          </c:val>
          <c:extLst>
            <c:ext xmlns:c16="http://schemas.microsoft.com/office/drawing/2014/chart" uri="{C3380CC4-5D6E-409C-BE32-E72D297353CC}">
              <c16:uniqueId val="{00000000-DBBC-4FED-9C36-FCA61AB7EC8F}"/>
            </c:ext>
          </c:extLst>
        </c:ser>
        <c:dLbls>
          <c:showLegendKey val="0"/>
          <c:showVal val="0"/>
          <c:showCatName val="0"/>
          <c:showSerName val="0"/>
          <c:showPercent val="0"/>
          <c:showBubbleSize val="0"/>
        </c:dLbls>
        <c:gapWidth val="150"/>
        <c:overlap val="100"/>
        <c:axId val="1187118288"/>
        <c:axId val="1344061744"/>
      </c:barChart>
      <c:catAx>
        <c:axId val="118711828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44061744"/>
        <c:crosses val="autoZero"/>
        <c:auto val="1"/>
        <c:lblAlgn val="ctr"/>
        <c:lblOffset val="100"/>
        <c:noMultiLvlLbl val="0"/>
      </c:catAx>
      <c:valAx>
        <c:axId val="1344061744"/>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18711828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feel sage</a:t>
            </a:r>
            <a:r>
              <a:rPr lang="en-US" sz="1400" baseline="0"/>
              <a:t> to use latrines when they need to (or at day/night)</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Analysis!$G$111</c:f>
              <c:strCache>
                <c:ptCount val="1"/>
                <c:pt idx="0">
                  <c:v>Safe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Analysis!$F$112:$F$115</c:f>
              <c:strCache>
                <c:ptCount val="4"/>
                <c:pt idx="0">
                  <c:v>Men</c:v>
                </c:pt>
                <c:pt idx="1">
                  <c:v>Women</c:v>
                </c:pt>
                <c:pt idx="2">
                  <c:v>Boys</c:v>
                </c:pt>
                <c:pt idx="3">
                  <c:v>Girls</c:v>
                </c:pt>
              </c:strCache>
            </c:strRef>
          </c:cat>
          <c:val>
            <c:numRef>
              <c:f>Analysis!$G$112:$G$115</c:f>
              <c:numCache>
                <c:formatCode>0%</c:formatCode>
                <c:ptCount val="4"/>
                <c:pt idx="0">
                  <c:v>0.8600000000000001</c:v>
                </c:pt>
                <c:pt idx="1">
                  <c:v>0.67294117647058838</c:v>
                </c:pt>
                <c:pt idx="2">
                  <c:v>0.62941176470588234</c:v>
                </c:pt>
                <c:pt idx="3">
                  <c:v>0.62470588235294111</c:v>
                </c:pt>
              </c:numCache>
            </c:numRef>
          </c:val>
          <c:extLst>
            <c:ext xmlns:c16="http://schemas.microsoft.com/office/drawing/2014/chart" uri="{C3380CC4-5D6E-409C-BE32-E72D297353CC}">
              <c16:uniqueId val="{00000000-1962-4C3D-B45B-23FEA09DDE3E}"/>
            </c:ext>
          </c:extLst>
        </c:ser>
        <c:ser>
          <c:idx val="1"/>
          <c:order val="1"/>
          <c:tx>
            <c:strRef>
              <c:f>Analysis!$H$111</c:f>
              <c:strCache>
                <c:ptCount val="1"/>
                <c:pt idx="0">
                  <c:v>Unsafe</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Analysis!$F$112:$F$115</c:f>
              <c:strCache>
                <c:ptCount val="4"/>
                <c:pt idx="0">
                  <c:v>Men</c:v>
                </c:pt>
                <c:pt idx="1">
                  <c:v>Women</c:v>
                </c:pt>
                <c:pt idx="2">
                  <c:v>Boys</c:v>
                </c:pt>
                <c:pt idx="3">
                  <c:v>Girls</c:v>
                </c:pt>
              </c:strCache>
            </c:strRef>
          </c:cat>
          <c:val>
            <c:numRef>
              <c:f>Analysis!$H$112:$H$115</c:f>
              <c:numCache>
                <c:formatCode>0%</c:formatCode>
                <c:ptCount val="4"/>
                <c:pt idx="0">
                  <c:v>0.1399999999999999</c:v>
                </c:pt>
                <c:pt idx="1">
                  <c:v>0.32705882352941162</c:v>
                </c:pt>
                <c:pt idx="2">
                  <c:v>0.37058823529411766</c:v>
                </c:pt>
                <c:pt idx="3">
                  <c:v>0.37529411764705889</c:v>
                </c:pt>
              </c:numCache>
            </c:numRef>
          </c:val>
          <c:extLst>
            <c:ext xmlns:c16="http://schemas.microsoft.com/office/drawing/2014/chart" uri="{C3380CC4-5D6E-409C-BE32-E72D297353CC}">
              <c16:uniqueId val="{00000001-1962-4C3D-B45B-23FEA09DDE3E}"/>
            </c:ext>
          </c:extLst>
        </c:ser>
        <c:dLbls>
          <c:showLegendKey val="0"/>
          <c:showVal val="0"/>
          <c:showCatName val="0"/>
          <c:showSerName val="0"/>
          <c:showPercent val="0"/>
          <c:showBubbleSize val="0"/>
        </c:dLbls>
        <c:gapWidth val="150"/>
        <c:overlap val="100"/>
        <c:axId val="240704655"/>
        <c:axId val="2054818927"/>
      </c:barChart>
      <c:catAx>
        <c:axId val="240704655"/>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2054818927"/>
        <c:crosses val="autoZero"/>
        <c:auto val="1"/>
        <c:lblAlgn val="ctr"/>
        <c:lblOffset val="100"/>
        <c:noMultiLvlLbl val="0"/>
      </c:catAx>
      <c:valAx>
        <c:axId val="2054818927"/>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240704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in TLS/CFS (50:1)</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9C0E-468E-884B-BDDA792E1FFE}"/>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7-9C0E-468E-884B-BDDA792E1FFE}"/>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9C0E-468E-884B-BDDA792E1FF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Analysis!$D$132:$E$132</c:f>
              <c:strCache>
                <c:ptCount val="2"/>
                <c:pt idx="0">
                  <c:v>Latrines in TLS/CFS</c:v>
                </c:pt>
                <c:pt idx="1">
                  <c:v>Latrine Gap</c:v>
                </c:pt>
              </c:strCache>
            </c:strRef>
          </c:cat>
          <c:val>
            <c:numRef>
              <c:f>Analysis!$D$133:$E$133</c:f>
              <c:numCache>
                <c:formatCode>_(* #,##0_);_(* \(#,##0\);_(* "-"??_);_(@_)</c:formatCode>
                <c:ptCount val="2"/>
                <c:pt idx="0">
                  <c:v>179</c:v>
                </c:pt>
                <c:pt idx="1">
                  <c:v>284.08</c:v>
                </c:pt>
              </c:numCache>
            </c:numRef>
          </c:val>
          <c:extLst>
            <c:ext xmlns:c16="http://schemas.microsoft.com/office/drawing/2014/chart" uri="{C3380CC4-5D6E-409C-BE32-E72D297353CC}">
              <c16:uniqueId val="{00000000-9C0E-468E-884B-BDDA792E1FFE}"/>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People with</a:t>
            </a:r>
            <a:r>
              <a:rPr lang="en-US" sz="1400" baseline="0"/>
              <a:t> disabilities with adapted sanitation option</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8-937E-4F55-AD95-DD28429F4A2A}"/>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1-937E-4F55-AD95-DD28429F4A2A}"/>
              </c:ext>
            </c:extLst>
          </c:dPt>
          <c:dLbls>
            <c:dLbl>
              <c:idx val="0"/>
              <c:layout>
                <c:manualLayout>
                  <c:x val="-8.5936132983377087E-3"/>
                  <c:y val="0.1056758530183727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37E-4F55-AD95-DD28429F4A2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Analysis!$L$130:$M$130</c:f>
              <c:strCache>
                <c:ptCount val="2"/>
                <c:pt idx="0">
                  <c:v>Access to adapted sanitation option</c:v>
                </c:pt>
                <c:pt idx="1">
                  <c:v>No access to adapted sanitation option</c:v>
                </c:pt>
              </c:strCache>
            </c:strRef>
          </c:cat>
          <c:val>
            <c:numRef>
              <c:f>Analysis!$L$131:$M$131</c:f>
              <c:numCache>
                <c:formatCode>General</c:formatCode>
                <c:ptCount val="2"/>
                <c:pt idx="0">
                  <c:v>396</c:v>
                </c:pt>
                <c:pt idx="1">
                  <c:v>14184</c:v>
                </c:pt>
              </c:numCache>
            </c:numRef>
          </c:val>
          <c:extLst>
            <c:ext xmlns:c16="http://schemas.microsoft.com/office/drawing/2014/chart" uri="{C3380CC4-5D6E-409C-BE32-E72D297353CC}">
              <c16:uniqueId val="{00000000-937E-4F55-AD95-DD28429F4A2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Analysis!$C$232</c:f>
              <c:strCache>
                <c:ptCount val="1"/>
                <c:pt idx="0">
                  <c:v>Yes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Analysis!$B$233:$B$235</c:f>
              <c:strCache>
                <c:ptCount val="3"/>
                <c:pt idx="0">
                  <c:v> % of women and girls who report that they have an adequate system for disposing of used sanitary pads</c:v>
                </c:pt>
                <c:pt idx="1">
                  <c:v> % of affected people who report handwashing at key times</c:v>
                </c:pt>
                <c:pt idx="2">
                  <c:v> % of households observed with a place to WASH hands with soap present</c:v>
                </c:pt>
              </c:strCache>
            </c:strRef>
          </c:cat>
          <c:val>
            <c:numRef>
              <c:f>Analysis!$C$233:$C$235</c:f>
              <c:numCache>
                <c:formatCode>0%</c:formatCode>
                <c:ptCount val="3"/>
                <c:pt idx="0">
                  <c:v>0.44750000000000001</c:v>
                </c:pt>
                <c:pt idx="1">
                  <c:v>0.97000000000000008</c:v>
                </c:pt>
                <c:pt idx="2">
                  <c:v>0.83750000000000002</c:v>
                </c:pt>
              </c:numCache>
            </c:numRef>
          </c:val>
          <c:extLst>
            <c:ext xmlns:c16="http://schemas.microsoft.com/office/drawing/2014/chart" uri="{C3380CC4-5D6E-409C-BE32-E72D297353CC}">
              <c16:uniqueId val="{00000000-733A-489A-B5AF-B8BB99AE7857}"/>
            </c:ext>
          </c:extLst>
        </c:ser>
        <c:ser>
          <c:idx val="1"/>
          <c:order val="1"/>
          <c:tx>
            <c:strRef>
              <c:f>Analysis!$D$232</c:f>
              <c:strCache>
                <c:ptCount val="1"/>
                <c:pt idx="0">
                  <c:v>No</c:v>
                </c:pt>
              </c:strCache>
            </c:strRef>
          </c:tx>
          <c:spPr>
            <a:solidFill>
              <a:schemeClr val="accent6">
                <a:lumMod val="40000"/>
                <a:lumOff val="60000"/>
              </a:schemeClr>
            </a:solidFill>
            <a:ln>
              <a:noFill/>
            </a:ln>
            <a:effectLst/>
          </c:spPr>
          <c:invertIfNegative val="0"/>
          <c:dLbls>
            <c:dLbl>
              <c:idx val="1"/>
              <c:layout>
                <c:manualLayout>
                  <c:x val="1.5470146272060043E-2"/>
                  <c:y val="4.288449484806734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3A-489A-B5AF-B8BB99AE785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Analysis!$B$233:$B$235</c:f>
              <c:strCache>
                <c:ptCount val="3"/>
                <c:pt idx="0">
                  <c:v> % of women and girls who report that they have an adequate system for disposing of used sanitary pads</c:v>
                </c:pt>
                <c:pt idx="1">
                  <c:v> % of affected people who report handwashing at key times</c:v>
                </c:pt>
                <c:pt idx="2">
                  <c:v> % of households observed with a place to WASH hands with soap present</c:v>
                </c:pt>
              </c:strCache>
            </c:strRef>
          </c:cat>
          <c:val>
            <c:numRef>
              <c:f>Analysis!$D$233:$D$235</c:f>
              <c:numCache>
                <c:formatCode>0%</c:formatCode>
                <c:ptCount val="3"/>
                <c:pt idx="0">
                  <c:v>0.55249999999999999</c:v>
                </c:pt>
                <c:pt idx="1">
                  <c:v>2.9999999999999916E-2</c:v>
                </c:pt>
                <c:pt idx="2">
                  <c:v>0.16249999999999998</c:v>
                </c:pt>
              </c:numCache>
            </c:numRef>
          </c:val>
          <c:extLst>
            <c:ext xmlns:c16="http://schemas.microsoft.com/office/drawing/2014/chart" uri="{C3380CC4-5D6E-409C-BE32-E72D297353CC}">
              <c16:uniqueId val="{00000001-733A-489A-B5AF-B8BB99AE7857}"/>
            </c:ext>
          </c:extLst>
        </c:ser>
        <c:dLbls>
          <c:showLegendKey val="0"/>
          <c:showVal val="0"/>
          <c:showCatName val="0"/>
          <c:showSerName val="0"/>
          <c:showPercent val="0"/>
          <c:showBubbleSize val="0"/>
        </c:dLbls>
        <c:gapWidth val="150"/>
        <c:overlap val="100"/>
        <c:axId val="766520672"/>
        <c:axId val="828045152"/>
      </c:barChart>
      <c:catAx>
        <c:axId val="76652067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828045152"/>
        <c:crosses val="autoZero"/>
        <c:auto val="1"/>
        <c:lblAlgn val="ctr"/>
        <c:lblOffset val="100"/>
        <c:noMultiLvlLbl val="0"/>
      </c:catAx>
      <c:valAx>
        <c:axId val="82804515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76652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TLS/CFS with a designated place for children to wash hands where soap is available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Analysis!$C$362</c:f>
              <c:strCache>
                <c:ptCount val="1"/>
                <c:pt idx="0">
                  <c:v>Average of % of TLS/CFS with a designated place for children to wash hands where soap is available</c:v>
                </c:pt>
              </c:strCache>
            </c:strRef>
          </c:tx>
          <c:dPt>
            <c:idx val="0"/>
            <c:bubble3D val="0"/>
            <c:spPr>
              <a:solidFill>
                <a:schemeClr val="accent6">
                  <a:lumMod val="75000"/>
                </a:schemeClr>
              </a:solidFill>
              <a:ln>
                <a:noFill/>
              </a:ln>
              <a:effectLst/>
            </c:spPr>
            <c:extLst>
              <c:ext xmlns:c16="http://schemas.microsoft.com/office/drawing/2014/chart" uri="{C3380CC4-5D6E-409C-BE32-E72D297353CC}">
                <c16:uniqueId val="{00000001-EE45-416E-98B2-E689FD767FA8}"/>
              </c:ext>
            </c:extLst>
          </c:dPt>
          <c:dPt>
            <c:idx val="1"/>
            <c:bubble3D val="0"/>
            <c:spPr>
              <a:solidFill>
                <a:schemeClr val="accent6">
                  <a:lumMod val="40000"/>
                  <a:lumOff val="60000"/>
                </a:schemeClr>
              </a:solidFill>
              <a:ln>
                <a:noFill/>
              </a:ln>
              <a:effectLst/>
            </c:spPr>
            <c:extLst>
              <c:ext xmlns:c16="http://schemas.microsoft.com/office/drawing/2014/chart" uri="{C3380CC4-5D6E-409C-BE32-E72D297353CC}">
                <c16:uniqueId val="{00000005-EE45-416E-98B2-E689FD767FA8}"/>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E45-416E-98B2-E689FD767FA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Analysis!$D$361:$E$361</c:f>
              <c:strCache>
                <c:ptCount val="2"/>
                <c:pt idx="0">
                  <c:v>Yes</c:v>
                </c:pt>
                <c:pt idx="1">
                  <c:v>No</c:v>
                </c:pt>
              </c:strCache>
            </c:strRef>
          </c:cat>
          <c:val>
            <c:numRef>
              <c:f>Analysis!$D$362:$E$362</c:f>
              <c:numCache>
                <c:formatCode>0%</c:formatCode>
                <c:ptCount val="2"/>
                <c:pt idx="0">
                  <c:v>0.72235294117647042</c:v>
                </c:pt>
                <c:pt idx="1">
                  <c:v>0.27764705882352958</c:v>
                </c:pt>
              </c:numCache>
            </c:numRef>
          </c:val>
          <c:extLst>
            <c:ext xmlns:c16="http://schemas.microsoft.com/office/drawing/2014/chart" uri="{C3380CC4-5D6E-409C-BE32-E72D297353CC}">
              <c16:uniqueId val="{00000000-EE45-416E-98B2-E689FD767FA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AAP</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Analysis!$D$380</c:f>
              <c:strCache>
                <c:ptCount val="1"/>
                <c:pt idx="0">
                  <c:v>Yes</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Analysis!$C$381:$C$383</c:f>
              <c:strCache>
                <c:ptCount val="3"/>
                <c:pt idx="0">
                  <c:v>% of affected people surveyed who report feeling satistfied with the latrine design and sanitation service</c:v>
                </c:pt>
                <c:pt idx="1">
                  <c:v>% of affected people surveyed who report feeling satistfied with the water point design and water service</c:v>
                </c:pt>
                <c:pt idx="2">
                  <c:v>% of complaints received that result in timely corrective action and feedback to the community</c:v>
                </c:pt>
              </c:strCache>
            </c:strRef>
          </c:cat>
          <c:val>
            <c:numRef>
              <c:f>Analysis!$D$381:$D$383</c:f>
              <c:numCache>
                <c:formatCode>0%</c:formatCode>
                <c:ptCount val="3"/>
                <c:pt idx="0">
                  <c:v>0.85166666666666668</c:v>
                </c:pt>
                <c:pt idx="1">
                  <c:v>0.8833333333333333</c:v>
                </c:pt>
                <c:pt idx="2">
                  <c:v>0.68625000000000003</c:v>
                </c:pt>
              </c:numCache>
            </c:numRef>
          </c:val>
          <c:extLst>
            <c:ext xmlns:c16="http://schemas.microsoft.com/office/drawing/2014/chart" uri="{C3380CC4-5D6E-409C-BE32-E72D297353CC}">
              <c16:uniqueId val="{00000000-F9D3-49B0-84FE-3DC0B87CEE6D}"/>
            </c:ext>
          </c:extLst>
        </c:ser>
        <c:ser>
          <c:idx val="1"/>
          <c:order val="1"/>
          <c:tx>
            <c:strRef>
              <c:f>Analysis!$E$380</c:f>
              <c:strCache>
                <c:ptCount val="1"/>
                <c:pt idx="0">
                  <c:v>No</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Analysis!$C$381:$C$383</c:f>
              <c:strCache>
                <c:ptCount val="3"/>
                <c:pt idx="0">
                  <c:v>% of affected people surveyed who report feeling satistfied with the latrine design and sanitation service</c:v>
                </c:pt>
                <c:pt idx="1">
                  <c:v>% of affected people surveyed who report feeling satistfied with the water point design and water service</c:v>
                </c:pt>
                <c:pt idx="2">
                  <c:v>% of complaints received that result in timely corrective action and feedback to the community</c:v>
                </c:pt>
              </c:strCache>
            </c:strRef>
          </c:cat>
          <c:val>
            <c:numRef>
              <c:f>Analysis!$E$381:$E$383</c:f>
              <c:numCache>
                <c:formatCode>0%</c:formatCode>
                <c:ptCount val="3"/>
                <c:pt idx="0">
                  <c:v>0.14833333333333332</c:v>
                </c:pt>
                <c:pt idx="1">
                  <c:v>0.1166666666666667</c:v>
                </c:pt>
                <c:pt idx="2">
                  <c:v>0.31374999999999997</c:v>
                </c:pt>
              </c:numCache>
            </c:numRef>
          </c:val>
          <c:extLst>
            <c:ext xmlns:c16="http://schemas.microsoft.com/office/drawing/2014/chart" uri="{C3380CC4-5D6E-409C-BE32-E72D297353CC}">
              <c16:uniqueId val="{00000001-F9D3-49B0-84FE-3DC0B87CEE6D}"/>
            </c:ext>
          </c:extLst>
        </c:ser>
        <c:dLbls>
          <c:showLegendKey val="0"/>
          <c:showVal val="0"/>
          <c:showCatName val="0"/>
          <c:showSerName val="0"/>
          <c:showPercent val="0"/>
          <c:showBubbleSize val="0"/>
        </c:dLbls>
        <c:gapWidth val="150"/>
        <c:overlap val="100"/>
        <c:axId val="782142527"/>
        <c:axId val="777875167"/>
      </c:barChart>
      <c:catAx>
        <c:axId val="782142527"/>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77875167"/>
        <c:crosses val="autoZero"/>
        <c:auto val="1"/>
        <c:lblAlgn val="ctr"/>
        <c:lblOffset val="100"/>
        <c:noMultiLvlLbl val="0"/>
      </c:catAx>
      <c:valAx>
        <c:axId val="777875167"/>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82142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reached with Hygiene Promotion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4">
                  <a:lumMod val="40000"/>
                  <a:lumOff val="60000"/>
                </a:schemeClr>
              </a:solidFill>
              <a:ln>
                <a:noFill/>
              </a:ln>
              <a:effectLst/>
            </c:spPr>
            <c:extLst>
              <c:ext xmlns:c16="http://schemas.microsoft.com/office/drawing/2014/chart" uri="{C3380CC4-5D6E-409C-BE32-E72D297353CC}">
                <c16:uniqueId val="{00000001-AFDE-48BF-A69F-0B5C710B2438}"/>
              </c:ext>
            </c:extLst>
          </c:dPt>
          <c:dPt>
            <c:idx val="1"/>
            <c:bubble3D val="0"/>
            <c:spPr>
              <a:solidFill>
                <a:schemeClr val="accent6">
                  <a:lumMod val="50000"/>
                </a:schemeClr>
              </a:solidFill>
              <a:ln>
                <a:noFill/>
              </a:ln>
              <a:effectLst/>
            </c:spPr>
            <c:extLst>
              <c:ext xmlns:c16="http://schemas.microsoft.com/office/drawing/2014/chart" uri="{C3380CC4-5D6E-409C-BE32-E72D297353CC}">
                <c16:uniqueId val="{00000009-AFDE-48BF-A69F-0B5C710B2438}"/>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10-AFDE-48BF-A69F-0B5C710B2438}"/>
              </c:ext>
            </c:extLst>
          </c:dPt>
          <c:dPt>
            <c:idx val="3"/>
            <c:bubble3D val="0"/>
            <c:spPr>
              <a:solidFill>
                <a:schemeClr val="accent6">
                  <a:lumMod val="60000"/>
                  <a:lumOff val="40000"/>
                </a:schemeClr>
              </a:solidFill>
              <a:ln>
                <a:noFill/>
              </a:ln>
              <a:effectLst/>
            </c:spPr>
            <c:extLst>
              <c:ext xmlns:c16="http://schemas.microsoft.com/office/drawing/2014/chart" uri="{C3380CC4-5D6E-409C-BE32-E72D297353CC}">
                <c16:uniqueId val="{00000015-AFDE-48BF-A69F-0B5C710B2438}"/>
              </c:ext>
            </c:extLst>
          </c:dPt>
          <c:dPt>
            <c:idx val="4"/>
            <c:bubble3D val="0"/>
            <c:spPr>
              <a:solidFill>
                <a:schemeClr val="accent6">
                  <a:lumMod val="40000"/>
                  <a:lumOff val="60000"/>
                </a:schemeClr>
              </a:solidFill>
              <a:ln>
                <a:noFill/>
              </a:ln>
              <a:effectLst/>
            </c:spPr>
            <c:extLst>
              <c:ext xmlns:c16="http://schemas.microsoft.com/office/drawing/2014/chart" uri="{C3380CC4-5D6E-409C-BE32-E72D297353CC}">
                <c16:uniqueId val="{0000001B-AFDE-48BF-A69F-0B5C710B2438}"/>
              </c:ext>
            </c:extLst>
          </c:dPt>
          <c:dPt>
            <c:idx val="5"/>
            <c:bubble3D val="0"/>
            <c:spPr>
              <a:solidFill>
                <a:schemeClr val="accent6">
                  <a:lumMod val="75000"/>
                </a:schemeClr>
              </a:solidFill>
              <a:ln>
                <a:noFill/>
              </a:ln>
              <a:effectLst/>
            </c:spPr>
            <c:extLst>
              <c:ext xmlns:c16="http://schemas.microsoft.com/office/drawing/2014/chart" uri="{C3380CC4-5D6E-409C-BE32-E72D297353CC}">
                <c16:uniqueId val="{00000002-AFDE-48BF-A69F-0B5C710B2438}"/>
              </c:ext>
            </c:extLst>
          </c:dPt>
          <c:dLbls>
            <c:dLbl>
              <c:idx val="1"/>
              <c:layout>
                <c:manualLayout>
                  <c:x val="2.8668088363954507E-2"/>
                  <c:y val="-6.7519494845752981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FDE-48BF-A69F-0B5C710B243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Analysis!$E$246:$I$246</c:f>
              <c:strCache>
                <c:ptCount val="5"/>
                <c:pt idx="0">
                  <c:v>No Reached</c:v>
                </c:pt>
                <c:pt idx="1">
                  <c:v>Men</c:v>
                </c:pt>
                <c:pt idx="2">
                  <c:v>Women</c:v>
                </c:pt>
                <c:pt idx="3">
                  <c:v>Boys</c:v>
                </c:pt>
                <c:pt idx="4">
                  <c:v>Girls</c:v>
                </c:pt>
              </c:strCache>
            </c:strRef>
          </c:cat>
          <c:val>
            <c:numRef>
              <c:f>Analysis!$E$247:$I$247</c:f>
              <c:numCache>
                <c:formatCode>_(* #,##0_);_(* \(#,##0\);_(* "-"??_);_(@_)</c:formatCode>
                <c:ptCount val="5"/>
                <c:pt idx="0">
                  <c:v>53458</c:v>
                </c:pt>
                <c:pt idx="1">
                  <c:v>7303</c:v>
                </c:pt>
                <c:pt idx="2">
                  <c:v>33732</c:v>
                </c:pt>
                <c:pt idx="3">
                  <c:v>8819</c:v>
                </c:pt>
                <c:pt idx="4">
                  <c:v>15808</c:v>
                </c:pt>
              </c:numCache>
            </c:numRef>
          </c:val>
          <c:extLst>
            <c:ext xmlns:c16="http://schemas.microsoft.com/office/drawing/2014/chart" uri="{C3380CC4-5D6E-409C-BE32-E72D297353CC}">
              <c16:uniqueId val="{00000000-AFDE-48BF-A69F-0B5C710B2438}"/>
            </c:ext>
          </c:extLst>
        </c:ser>
        <c:dLbls>
          <c:showLegendKey val="0"/>
          <c:showVal val="0"/>
          <c:showCatName val="0"/>
          <c:showSerName val="0"/>
          <c:showPercent val="0"/>
          <c:showBubbleSize val="0"/>
          <c:showLeaderLines val="1"/>
        </c:dLbls>
        <c:gapWidth val="100"/>
        <c:splitType val="cust"/>
        <c:custSplit>
          <c:secondPiePt val="1"/>
          <c:secondPiePt val="2"/>
          <c:secondPiePt val="3"/>
          <c:secondPiePt val="4"/>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[20190813_Myanmar_WASH_4W_2019_Q2_Rakhine_camp_Consolidate_DRAFT.xlsx]Quarterly Dashboard!PivotTable1</c:name>
    <c:fmtId val="1"/>
  </c:pivotSource>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b="1" i="0" baseline="0">
                <a:effectLst/>
              </a:rPr>
              <a:t>Qtr Dashboard</a:t>
            </a:r>
            <a:endParaRPr lang="en-US" sz="1800" b="1">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en-US"/>
        </a:p>
      </c:txPr>
    </c:title>
    <c:autoTitleDeleted val="0"/>
    <c:pivotFmts>
      <c:pivotFmt>
        <c:idx val="0"/>
        <c:spPr>
          <a:solidFill>
            <a:schemeClr val="tx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0070C0"/>
          </a:solidFill>
          <a:ln>
            <a:noFill/>
          </a:ln>
          <a:effectLst/>
        </c:spPr>
        <c:marker>
          <c:symbol val="none"/>
        </c:marker>
      </c:pivotFmt>
      <c:pivotFmt>
        <c:idx val="2"/>
        <c:spPr>
          <a:solidFill>
            <a:schemeClr val="accent2">
              <a:lumMod val="75000"/>
            </a:schemeClr>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spPr>
          <a:solidFill>
            <a:srgbClr val="0070C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1612781656401217"/>
          <c:y val="0.11493115019255251"/>
          <c:w val="0.62188569619991574"/>
          <c:h val="0.82620867752909466"/>
        </c:manualLayout>
      </c:layout>
      <c:barChart>
        <c:barDir val="bar"/>
        <c:grouping val="clustered"/>
        <c:varyColors val="0"/>
        <c:ser>
          <c:idx val="0"/>
          <c:order val="0"/>
          <c:tx>
            <c:strRef>
              <c:f>'Quarterly Dashboard'!$C$29</c:f>
              <c:strCache>
                <c:ptCount val="1"/>
                <c:pt idx="0">
                  <c:v>Total Population</c:v>
                </c:pt>
              </c:strCache>
            </c:strRef>
          </c:tx>
          <c:spPr>
            <a:solidFill>
              <a:schemeClr val="tx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Dashboard'!$A$30:$B$36</c:f>
              <c:multiLvlStrCache>
                <c:ptCount val="5"/>
                <c:lvl>
                  <c:pt idx="0">
                    <c:v>Kyaukpyu</c:v>
                  </c:pt>
                  <c:pt idx="1">
                    <c:v>Kyauktaw</c:v>
                  </c:pt>
                  <c:pt idx="2">
                    <c:v>Myebon</c:v>
                  </c:pt>
                  <c:pt idx="3">
                    <c:v>Pauktaw</c:v>
                  </c:pt>
                  <c:pt idx="4">
                    <c:v>Sittwe</c:v>
                  </c:pt>
                </c:lvl>
                <c:lvl>
                  <c:pt idx="0">
                    <c:v>Central Rakhine</c:v>
                  </c:pt>
                </c:lvl>
              </c:multiLvlStrCache>
            </c:multiLvlStrRef>
          </c:cat>
          <c:val>
            <c:numRef>
              <c:f>'Quarterly Dashboard'!$C$30:$C$36</c:f>
              <c:numCache>
                <c:formatCode>General</c:formatCode>
                <c:ptCount val="5"/>
                <c:pt idx="0">
                  <c:v>979</c:v>
                </c:pt>
                <c:pt idx="1">
                  <c:v>581</c:v>
                </c:pt>
                <c:pt idx="2">
                  <c:v>2920</c:v>
                </c:pt>
                <c:pt idx="3">
                  <c:v>22313</c:v>
                </c:pt>
                <c:pt idx="4">
                  <c:v>92327</c:v>
                </c:pt>
              </c:numCache>
            </c:numRef>
          </c:val>
          <c:extLst>
            <c:ext xmlns:c16="http://schemas.microsoft.com/office/drawing/2014/chart" uri="{C3380CC4-5D6E-409C-BE32-E72D297353CC}">
              <c16:uniqueId val="{00000000-FD4A-40E3-B1F6-9704B8EB76ED}"/>
            </c:ext>
          </c:extLst>
        </c:ser>
        <c:ser>
          <c:idx val="1"/>
          <c:order val="1"/>
          <c:tx>
            <c:strRef>
              <c:f>'Quarterly Dashboard'!$D$29</c:f>
              <c:strCache>
                <c:ptCount val="1"/>
                <c:pt idx="0">
                  <c:v>Number of People adopt basic personal and community hygiene practices</c:v>
                </c:pt>
              </c:strCache>
            </c:strRef>
          </c:tx>
          <c:spPr>
            <a:solidFill>
              <a:schemeClr val="accent6">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Dashboard'!$A$30:$B$36</c:f>
              <c:multiLvlStrCache>
                <c:ptCount val="5"/>
                <c:lvl>
                  <c:pt idx="0">
                    <c:v>Kyaukpyu</c:v>
                  </c:pt>
                  <c:pt idx="1">
                    <c:v>Kyauktaw</c:v>
                  </c:pt>
                  <c:pt idx="2">
                    <c:v>Myebon</c:v>
                  </c:pt>
                  <c:pt idx="3">
                    <c:v>Pauktaw</c:v>
                  </c:pt>
                  <c:pt idx="4">
                    <c:v>Sittwe</c:v>
                  </c:pt>
                </c:lvl>
                <c:lvl>
                  <c:pt idx="0">
                    <c:v>Central Rakhine</c:v>
                  </c:pt>
                </c:lvl>
              </c:multiLvlStrCache>
            </c:multiLvlStrRef>
          </c:cat>
          <c:val>
            <c:numRef>
              <c:f>'Quarterly Dashboard'!$D$30:$D$36</c:f>
              <c:numCache>
                <c:formatCode>General</c:formatCode>
                <c:ptCount val="5"/>
                <c:pt idx="0">
                  <c:v>979</c:v>
                </c:pt>
                <c:pt idx="1">
                  <c:v>0</c:v>
                </c:pt>
                <c:pt idx="2">
                  <c:v>2920</c:v>
                </c:pt>
                <c:pt idx="3">
                  <c:v>22313</c:v>
                </c:pt>
                <c:pt idx="4">
                  <c:v>92111</c:v>
                </c:pt>
              </c:numCache>
            </c:numRef>
          </c:val>
          <c:extLst>
            <c:ext xmlns:c16="http://schemas.microsoft.com/office/drawing/2014/chart" uri="{C3380CC4-5D6E-409C-BE32-E72D297353CC}">
              <c16:uniqueId val="{00000000-186D-464E-B4E5-625EB4D2527A}"/>
            </c:ext>
          </c:extLst>
        </c:ser>
        <c:ser>
          <c:idx val="2"/>
          <c:order val="2"/>
          <c:tx>
            <c:strRef>
              <c:f>'Quarterly Dashboard'!$E$29</c:f>
              <c:strCache>
                <c:ptCount val="1"/>
                <c:pt idx="0">
                  <c:v>Number of people with equitable and continuous access to safe sanitation facilities</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Dashboard'!$A$30:$B$36</c:f>
              <c:multiLvlStrCache>
                <c:ptCount val="5"/>
                <c:lvl>
                  <c:pt idx="0">
                    <c:v>Kyaukpyu</c:v>
                  </c:pt>
                  <c:pt idx="1">
                    <c:v>Kyauktaw</c:v>
                  </c:pt>
                  <c:pt idx="2">
                    <c:v>Myebon</c:v>
                  </c:pt>
                  <c:pt idx="3">
                    <c:v>Pauktaw</c:v>
                  </c:pt>
                  <c:pt idx="4">
                    <c:v>Sittwe</c:v>
                  </c:pt>
                </c:lvl>
                <c:lvl>
                  <c:pt idx="0">
                    <c:v>Central Rakhine</c:v>
                  </c:pt>
                </c:lvl>
              </c:multiLvlStrCache>
            </c:multiLvlStrRef>
          </c:cat>
          <c:val>
            <c:numRef>
              <c:f>'Quarterly Dashboard'!$E$30:$E$36</c:f>
              <c:numCache>
                <c:formatCode>General</c:formatCode>
                <c:ptCount val="5"/>
                <c:pt idx="0">
                  <c:v>979</c:v>
                </c:pt>
                <c:pt idx="1">
                  <c:v>581</c:v>
                </c:pt>
                <c:pt idx="2">
                  <c:v>2920</c:v>
                </c:pt>
                <c:pt idx="3">
                  <c:v>15961</c:v>
                </c:pt>
                <c:pt idx="4">
                  <c:v>70207</c:v>
                </c:pt>
              </c:numCache>
            </c:numRef>
          </c:val>
          <c:extLst>
            <c:ext xmlns:c16="http://schemas.microsoft.com/office/drawing/2014/chart" uri="{C3380CC4-5D6E-409C-BE32-E72D297353CC}">
              <c16:uniqueId val="{00000001-186D-464E-B4E5-625EB4D2527A}"/>
            </c:ext>
          </c:extLst>
        </c:ser>
        <c:ser>
          <c:idx val="3"/>
          <c:order val="3"/>
          <c:tx>
            <c:strRef>
              <c:f>'Quarterly Dashboard'!$F$29</c:f>
              <c:strCache>
                <c:ptCount val="1"/>
                <c:pt idx="0">
                  <c:v>Number of people with equitable and continuous access to sufficient quantity of domestic water</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Dashboard'!$A$30:$B$36</c:f>
              <c:multiLvlStrCache>
                <c:ptCount val="5"/>
                <c:lvl>
                  <c:pt idx="0">
                    <c:v>Kyaukpyu</c:v>
                  </c:pt>
                  <c:pt idx="1">
                    <c:v>Kyauktaw</c:v>
                  </c:pt>
                  <c:pt idx="2">
                    <c:v>Myebon</c:v>
                  </c:pt>
                  <c:pt idx="3">
                    <c:v>Pauktaw</c:v>
                  </c:pt>
                  <c:pt idx="4">
                    <c:v>Sittwe</c:v>
                  </c:pt>
                </c:lvl>
                <c:lvl>
                  <c:pt idx="0">
                    <c:v>Central Rakhine</c:v>
                  </c:pt>
                </c:lvl>
              </c:multiLvlStrCache>
            </c:multiLvlStrRef>
          </c:cat>
          <c:val>
            <c:numRef>
              <c:f>'Quarterly Dashboard'!$F$30:$F$36</c:f>
              <c:numCache>
                <c:formatCode>General</c:formatCode>
                <c:ptCount val="5"/>
                <c:pt idx="0">
                  <c:v>979</c:v>
                </c:pt>
                <c:pt idx="1">
                  <c:v>581</c:v>
                </c:pt>
                <c:pt idx="2">
                  <c:v>2920</c:v>
                </c:pt>
                <c:pt idx="3">
                  <c:v>17494.493333333332</c:v>
                </c:pt>
                <c:pt idx="4">
                  <c:v>92327</c:v>
                </c:pt>
              </c:numCache>
            </c:numRef>
          </c:val>
          <c:extLst>
            <c:ext xmlns:c16="http://schemas.microsoft.com/office/drawing/2014/chart" uri="{C3380CC4-5D6E-409C-BE32-E72D297353CC}">
              <c16:uniqueId val="{00000002-186D-464E-B4E5-625EB4D2527A}"/>
            </c:ext>
          </c:extLst>
        </c:ser>
        <c:dLbls>
          <c:showLegendKey val="0"/>
          <c:showVal val="0"/>
          <c:showCatName val="0"/>
          <c:showSerName val="0"/>
          <c:showPercent val="0"/>
          <c:showBubbleSize val="0"/>
        </c:dLbls>
        <c:gapWidth val="100"/>
        <c:axId val="415868040"/>
        <c:axId val="415868432"/>
      </c:barChart>
      <c:catAx>
        <c:axId val="41586804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68432"/>
        <c:crosses val="autoZero"/>
        <c:auto val="1"/>
        <c:lblAlgn val="ctr"/>
        <c:lblOffset val="100"/>
        <c:noMultiLvlLbl val="0"/>
      </c:catAx>
      <c:valAx>
        <c:axId val="415868432"/>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Nb of People</a:t>
                </a:r>
              </a:p>
            </c:rich>
          </c:tx>
          <c:layout>
            <c:manualLayout>
              <c:xMode val="edge"/>
              <c:yMode val="edge"/>
              <c:x val="0.91412593207319459"/>
              <c:y val="0.9647028148317734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68040"/>
        <c:crosses val="autoZero"/>
        <c:crossBetween val="between"/>
      </c:valAx>
      <c:spPr>
        <a:noFill/>
        <a:ln>
          <a:noFill/>
        </a:ln>
        <a:effectLst/>
      </c:spPr>
    </c:plotArea>
    <c:legend>
      <c:legendPos val="r"/>
      <c:layout>
        <c:manualLayout>
          <c:xMode val="edge"/>
          <c:yMode val="edge"/>
          <c:x val="0.7635998223399264"/>
          <c:y val="0.2294476557200536"/>
          <c:w val="0.23640020279019566"/>
          <c:h val="0.4500836725721571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85C2FF"/>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Number of targeted women, men, boys and girls benefitting from timely/adequate/tailored personal hygiene items and receiving appropriate/ community tailored messages that enable health seeking behavior</a:t>
            </a:r>
          </a:p>
        </c:rich>
      </c:tx>
      <c:layout>
        <c:manualLayout>
          <c:xMode val="edge"/>
          <c:yMode val="edge"/>
          <c:x val="0.13180928042000772"/>
          <c:y val="4.7888133320563167E-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3512356211607784"/>
          <c:y val="0.21587074342979853"/>
          <c:w val="0.80948758650145791"/>
          <c:h val="0.57773696848499989"/>
        </c:manualLayout>
      </c:layout>
      <c:barChart>
        <c:barDir val="bar"/>
        <c:grouping val="percentStacked"/>
        <c:varyColors val="0"/>
        <c:ser>
          <c:idx val="1"/>
          <c:order val="1"/>
          <c:tx>
            <c:strRef>
              <c:f>HRP!$D$56</c:f>
              <c:strCache>
                <c:ptCount val="1"/>
                <c:pt idx="0">
                  <c:v>Coverage</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HRP!$B$57:$B$57</c:f>
              <c:strCache>
                <c:ptCount val="1"/>
                <c:pt idx="0">
                  <c:v> Central Rakhine </c:v>
                </c:pt>
              </c:strCache>
            </c:strRef>
          </c:cat>
          <c:val>
            <c:numRef>
              <c:f>HRP!$D$57:$D$57</c:f>
              <c:numCache>
                <c:formatCode>_(* #,##0_);_(* \(#,##0\);_(* "-"??_);_(@_)</c:formatCode>
                <c:ptCount val="1"/>
                <c:pt idx="0">
                  <c:v>118323</c:v>
                </c:pt>
              </c:numCache>
            </c:numRef>
          </c:val>
          <c:extLst>
            <c:ext xmlns:c16="http://schemas.microsoft.com/office/drawing/2014/chart" uri="{C3380CC4-5D6E-409C-BE32-E72D297353CC}">
              <c16:uniqueId val="{00000001-DB15-4E31-852A-C011D1892EB1}"/>
            </c:ext>
          </c:extLst>
        </c:ser>
        <c:ser>
          <c:idx val="2"/>
          <c:order val="2"/>
          <c:tx>
            <c:strRef>
              <c:f>HRP!$E$56</c:f>
              <c:strCache>
                <c:ptCount val="1"/>
                <c:pt idx="0">
                  <c:v>Gap</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HRP!$B$57:$B$57</c:f>
              <c:strCache>
                <c:ptCount val="1"/>
                <c:pt idx="0">
                  <c:v> Central Rakhine </c:v>
                </c:pt>
              </c:strCache>
            </c:strRef>
          </c:cat>
          <c:val>
            <c:numRef>
              <c:f>HRP!$E$57:$E$57</c:f>
              <c:numCache>
                <c:formatCode>_(* #,##0_);_(* \(#,##0\);_(* "-"??_);_(@_)</c:formatCode>
                <c:ptCount val="1"/>
                <c:pt idx="0">
                  <c:v>136149</c:v>
                </c:pt>
              </c:numCache>
            </c:numRef>
          </c:val>
          <c:extLst>
            <c:ext xmlns:c16="http://schemas.microsoft.com/office/drawing/2014/chart" uri="{C3380CC4-5D6E-409C-BE32-E72D297353CC}">
              <c16:uniqueId val="{00000002-DB15-4E31-852A-C011D1892EB1}"/>
            </c:ext>
          </c:extLst>
        </c:ser>
        <c:dLbls>
          <c:showLegendKey val="0"/>
          <c:showVal val="0"/>
          <c:showCatName val="0"/>
          <c:showSerName val="0"/>
          <c:showPercent val="0"/>
          <c:showBubbleSize val="0"/>
        </c:dLbls>
        <c:gapWidth val="150"/>
        <c:overlap val="100"/>
        <c:axId val="390218696"/>
        <c:axId val="390219088"/>
        <c:extLst>
          <c:ext xmlns:c15="http://schemas.microsoft.com/office/drawing/2012/chart" uri="{02D57815-91ED-43cb-92C2-25804820EDAC}">
            <c15:filteredBarSeries>
              <c15:ser>
                <c:idx val="0"/>
                <c:order val="0"/>
                <c:tx>
                  <c:strRef>
                    <c:extLst>
                      <c:ext uri="{02D57815-91ED-43cb-92C2-25804820EDAC}">
                        <c15:formulaRef>
                          <c15:sqref>HRP!$C$56</c15:sqref>
                        </c15:formulaRef>
                      </c:ext>
                    </c:extLst>
                    <c:strCache>
                      <c:ptCount val="1"/>
                      <c:pt idx="0">
                        <c:v>Target</c:v>
                      </c:pt>
                    </c:strCache>
                  </c:strRef>
                </c:tx>
                <c:spPr>
                  <a:gradFill rotWithShape="1">
                    <a:gsLst>
                      <a:gs pos="0">
                        <a:schemeClr val="accent6">
                          <a:shade val="65000"/>
                          <a:satMod val="103000"/>
                          <a:lumMod val="102000"/>
                          <a:tint val="94000"/>
                        </a:schemeClr>
                      </a:gs>
                      <a:gs pos="50000">
                        <a:schemeClr val="accent6">
                          <a:shade val="65000"/>
                          <a:satMod val="110000"/>
                          <a:lumMod val="100000"/>
                          <a:shade val="100000"/>
                        </a:schemeClr>
                      </a:gs>
                      <a:gs pos="100000">
                        <a:schemeClr val="accent6">
                          <a:shade val="65000"/>
                          <a:lumMod val="99000"/>
                          <a:satMod val="120000"/>
                          <a:shade val="78000"/>
                        </a:schemeClr>
                      </a:gs>
                    </a:gsLst>
                    <a:lin ang="5400000" scaled="0"/>
                  </a:gradFill>
                  <a:ln>
                    <a:noFill/>
                  </a:ln>
                  <a:effectLst/>
                </c:spPr>
                <c:invertIfNegative val="0"/>
                <c:cat>
                  <c:strRef>
                    <c:extLst>
                      <c:ext uri="{02D57815-91ED-43cb-92C2-25804820EDAC}">
                        <c15:formulaRef>
                          <c15:sqref>HRP!$B$57:$B$57</c15:sqref>
                        </c15:formulaRef>
                      </c:ext>
                    </c:extLst>
                    <c:strCache>
                      <c:ptCount val="1"/>
                      <c:pt idx="0">
                        <c:v> Central Rakhine </c:v>
                      </c:pt>
                    </c:strCache>
                  </c:strRef>
                </c:cat>
                <c:val>
                  <c:numRef>
                    <c:extLst>
                      <c:ext uri="{02D57815-91ED-43cb-92C2-25804820EDAC}">
                        <c15:formulaRef>
                          <c15:sqref>HRP!$C$57:$C$57</c15:sqref>
                        </c15:formulaRef>
                      </c:ext>
                    </c:extLst>
                    <c:numCache>
                      <c:formatCode>_(* #,##0_);_(* \(#,##0\);_(* "-"??_);_(@_)</c:formatCode>
                      <c:ptCount val="1"/>
                      <c:pt idx="0">
                        <c:v>254472</c:v>
                      </c:pt>
                    </c:numCache>
                  </c:numRef>
                </c:val>
                <c:extLst>
                  <c:ext xmlns:c16="http://schemas.microsoft.com/office/drawing/2014/chart" uri="{C3380CC4-5D6E-409C-BE32-E72D297353CC}">
                    <c16:uniqueId val="{00000000-DB15-4E31-852A-C011D1892EB1}"/>
                  </c:ext>
                </c:extLst>
              </c15:ser>
            </c15:filteredBarSeries>
          </c:ext>
        </c:extLst>
      </c:barChart>
      <c:catAx>
        <c:axId val="39021869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9088"/>
        <c:crosses val="autoZero"/>
        <c:auto val="1"/>
        <c:lblAlgn val="ctr"/>
        <c:lblOffset val="100"/>
        <c:noMultiLvlLbl val="0"/>
      </c:catAx>
      <c:valAx>
        <c:axId val="39021908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0218696"/>
        <c:crosses val="autoZero"/>
        <c:crossBetween val="between"/>
      </c:valAx>
      <c:spPr>
        <a:noFill/>
        <a:ln>
          <a:noFill/>
        </a:ln>
        <a:effectLst/>
      </c:spPr>
    </c:plotArea>
    <c:legend>
      <c:legendPos val="b"/>
      <c:layout>
        <c:manualLayout>
          <c:xMode val="edge"/>
          <c:yMode val="edge"/>
          <c:x val="0.41884453703817848"/>
          <c:y val="0.89252574488794967"/>
          <c:w val="0.18993918158000264"/>
          <c:h val="0.101461749099544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Hygiene Coverage </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0219866574296047"/>
          <c:y val="0.1768920122290806"/>
          <c:w val="0.87251225217106865"/>
          <c:h val="0.48433366593957394"/>
        </c:manualLayout>
      </c:layout>
      <c:barChart>
        <c:barDir val="col"/>
        <c:grouping val="percentStacked"/>
        <c:varyColors val="0"/>
        <c:ser>
          <c:idx val="0"/>
          <c:order val="0"/>
          <c:tx>
            <c:strRef>
              <c:f>Analysis!$I$199</c:f>
              <c:strCache>
                <c:ptCount val="1"/>
                <c:pt idx="0">
                  <c:v>Covered</c:v>
                </c:pt>
              </c:strCache>
            </c:strRef>
          </c:tx>
          <c:spPr>
            <a:solidFill>
              <a:schemeClr val="accent6">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Analysis!$H$200:$H$202</c:f>
              <c:strCache>
                <c:ptCount val="3"/>
                <c:pt idx="0">
                  <c:v>#HH reached by regular dedicated hygiene promotion</c:v>
                </c:pt>
                <c:pt idx="1">
                  <c:v># HH received soaps</c:v>
                </c:pt>
                <c:pt idx="2">
                  <c:v># HH received Sanitary Pads</c:v>
                </c:pt>
              </c:strCache>
            </c:strRef>
          </c:cat>
          <c:val>
            <c:numRef>
              <c:f>Analysis!$I$200:$I$202</c:f>
              <c:numCache>
                <c:formatCode>_(* #,##0_);_(* \(#,##0\);_(* "-"??_);_(@_)</c:formatCode>
                <c:ptCount val="3"/>
                <c:pt idx="0">
                  <c:v>11760.6</c:v>
                </c:pt>
                <c:pt idx="1">
                  <c:v>26657</c:v>
                </c:pt>
                <c:pt idx="2">
                  <c:v>27322</c:v>
                </c:pt>
              </c:numCache>
            </c:numRef>
          </c:val>
          <c:extLst>
            <c:ext xmlns:c16="http://schemas.microsoft.com/office/drawing/2014/chart" uri="{C3380CC4-5D6E-409C-BE32-E72D297353CC}">
              <c16:uniqueId val="{00000000-F5FF-4313-84A4-722007FD5F1B}"/>
            </c:ext>
          </c:extLst>
        </c:ser>
        <c:ser>
          <c:idx val="1"/>
          <c:order val="1"/>
          <c:tx>
            <c:strRef>
              <c:f>Analysis!$J$199</c:f>
              <c:strCache>
                <c:ptCount val="1"/>
                <c:pt idx="0">
                  <c:v>Gap</c:v>
                </c:pt>
              </c:strCache>
            </c:strRef>
          </c:tx>
          <c:spPr>
            <a:solidFill>
              <a:schemeClr val="accent6">
                <a:lumMod val="40000"/>
                <a:lumOff val="60000"/>
              </a:schemeClr>
            </a:solidFill>
            <a:ln>
              <a:noFill/>
            </a:ln>
            <a:effectLst/>
          </c:spPr>
          <c:invertIfNegative val="0"/>
          <c:dLbls>
            <c:dLbl>
              <c:idx val="1"/>
              <c:layout>
                <c:manualLayout>
                  <c:x val="0"/>
                  <c:y val="-2.427194516706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10-4909-8961-28403D38D39F}"/>
                </c:ext>
              </c:extLst>
            </c:dLbl>
            <c:dLbl>
              <c:idx val="2"/>
              <c:layout>
                <c:manualLayout>
                  <c:x val="-2.5725572556040224E-3"/>
                  <c:y val="-2.83172693615745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59-4DE4-BDC8-7EF66AD7117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Analysis!$H$200:$H$202</c:f>
              <c:strCache>
                <c:ptCount val="3"/>
                <c:pt idx="0">
                  <c:v>#HH reached by regular dedicated hygiene promotion</c:v>
                </c:pt>
                <c:pt idx="1">
                  <c:v># HH received soaps</c:v>
                </c:pt>
                <c:pt idx="2">
                  <c:v># HH received Sanitary Pads</c:v>
                </c:pt>
              </c:strCache>
            </c:strRef>
          </c:cat>
          <c:val>
            <c:numRef>
              <c:f>Analysis!$J$200:$J$202</c:f>
              <c:numCache>
                <c:formatCode>_(* #,##0_);_(* \(#,##0\);_(* "-"??_);_(@_)</c:formatCode>
                <c:ptCount val="3"/>
                <c:pt idx="0">
                  <c:v>11937.4</c:v>
                </c:pt>
                <c:pt idx="1">
                  <c:v>-2959</c:v>
                </c:pt>
                <c:pt idx="2">
                  <c:v>-3624</c:v>
                </c:pt>
              </c:numCache>
            </c:numRef>
          </c:val>
          <c:extLst>
            <c:ext xmlns:c16="http://schemas.microsoft.com/office/drawing/2014/chart" uri="{C3380CC4-5D6E-409C-BE32-E72D297353CC}">
              <c16:uniqueId val="{00000001-F5FF-4313-84A4-722007FD5F1B}"/>
            </c:ext>
          </c:extLst>
        </c:ser>
        <c:dLbls>
          <c:showLegendKey val="0"/>
          <c:showVal val="0"/>
          <c:showCatName val="0"/>
          <c:showSerName val="0"/>
          <c:showPercent val="0"/>
          <c:showBubbleSize val="0"/>
        </c:dLbls>
        <c:gapWidth val="150"/>
        <c:overlap val="100"/>
        <c:axId val="417017024"/>
        <c:axId val="417015456"/>
      </c:barChart>
      <c:catAx>
        <c:axId val="41701702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15456"/>
        <c:crosses val="autoZero"/>
        <c:auto val="1"/>
        <c:lblAlgn val="ctr"/>
        <c:lblOffset val="100"/>
        <c:noMultiLvlLbl val="0"/>
      </c:catAx>
      <c:valAx>
        <c:axId val="417015456"/>
        <c:scaling>
          <c:orientation val="minMax"/>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17024"/>
        <c:crosses val="autoZero"/>
        <c:crossBetween val="between"/>
        <c:majorUnit val="0.2"/>
      </c:valAx>
      <c:spPr>
        <a:noFill/>
        <a:ln>
          <a:noFill/>
        </a:ln>
        <a:effectLst/>
      </c:spPr>
    </c:plotArea>
    <c:legend>
      <c:legendPos val="b"/>
      <c:legendEntry>
        <c:idx val="1"/>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Entry>
      <c:layout>
        <c:manualLayout>
          <c:xMode val="edge"/>
          <c:yMode val="edge"/>
          <c:x val="0.39631435292145367"/>
          <c:y val="0.88868555664118631"/>
          <c:w val="0.28858398950131231"/>
          <c:h val="8.136326709161355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[20190813_Myanmar_WASH_4W_2019_Q2_Rakhine_camp_Consolidate_DRAFT.xlsx]Analysis!R_Geo</c:name>
    <c:fmtId val="16"/>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Number of Sites - Coverage/Gaps</a:t>
            </a:r>
          </a:p>
        </c:rich>
      </c:tx>
      <c:layout>
        <c:manualLayout>
          <c:xMode val="edge"/>
          <c:yMode val="edge"/>
          <c:x val="0.24044580033600649"/>
          <c:y val="5.06169790390930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0245267122840117E-2"/>
          <c:y val="0.19330595649436427"/>
          <c:w val="0.70386355380808219"/>
          <c:h val="0.61659333224571267"/>
        </c:manualLayout>
      </c:layout>
      <c:barChart>
        <c:barDir val="bar"/>
        <c:grouping val="clustered"/>
        <c:varyColors val="0"/>
        <c:ser>
          <c:idx val="0"/>
          <c:order val="0"/>
          <c:tx>
            <c:strRef>
              <c:f>Analysis!$I$261:$I$262</c:f>
              <c:strCache>
                <c:ptCount val="1"/>
                <c:pt idx="0">
                  <c:v>Covered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Analysis!$H$263</c:f>
              <c:strCache>
                <c:ptCount val="1"/>
                <c:pt idx="0">
                  <c:v>Camp</c:v>
                </c:pt>
              </c:strCache>
            </c:strRef>
          </c:cat>
          <c:val>
            <c:numRef>
              <c:f>Analysis!$I$263</c:f>
              <c:numCache>
                <c:formatCode>General</c:formatCode>
                <c:ptCount val="1"/>
                <c:pt idx="0">
                  <c:v>25</c:v>
                </c:pt>
              </c:numCache>
            </c:numRef>
          </c:val>
          <c:extLst>
            <c:ext xmlns:c16="http://schemas.microsoft.com/office/drawing/2014/chart" uri="{C3380CC4-5D6E-409C-BE32-E72D297353CC}">
              <c16:uniqueId val="{00000000-30DA-42B0-8831-535E468CE2F5}"/>
            </c:ext>
          </c:extLst>
        </c:ser>
        <c:dLbls>
          <c:showLegendKey val="0"/>
          <c:showVal val="0"/>
          <c:showCatName val="0"/>
          <c:showSerName val="0"/>
          <c:showPercent val="0"/>
          <c:showBubbleSize val="0"/>
        </c:dLbls>
        <c:gapWidth val="100"/>
        <c:axId val="417007224"/>
        <c:axId val="417013496"/>
      </c:barChart>
      <c:catAx>
        <c:axId val="41700722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417013496"/>
        <c:crosses val="autoZero"/>
        <c:auto val="1"/>
        <c:lblAlgn val="ctr"/>
        <c:lblOffset val="100"/>
        <c:noMultiLvlLbl val="0"/>
      </c:catAx>
      <c:valAx>
        <c:axId val="417013496"/>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417007224"/>
        <c:crosses val="autoZero"/>
        <c:crossBetween val="between"/>
      </c:valAx>
      <c:spPr>
        <a:noFill/>
        <a:ln>
          <a:noFill/>
        </a:ln>
        <a:effectLst/>
      </c:spPr>
    </c:plotArea>
    <c:legend>
      <c:legendPos val="r"/>
      <c:layout>
        <c:manualLayout>
          <c:xMode val="edge"/>
          <c:yMode val="edge"/>
          <c:x val="0.83268479855514244"/>
          <c:y val="0.49398014706871168"/>
          <c:w val="0.11174247220045003"/>
          <c:h val="0.2748539678317574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Number of ppl Covered</a:t>
            </a:r>
            <a:r>
              <a:rPr lang="en-US" sz="1400" baseline="0"/>
              <a:t> against 2019 HRP targets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HRP!$H$78</c:f>
              <c:strCache>
                <c:ptCount val="1"/>
                <c:pt idx="0">
                  <c:v>Coverage</c:v>
                </c:pt>
              </c:strCache>
            </c:strRef>
          </c:tx>
          <c:spPr>
            <a:solidFill>
              <a:srgbClr val="0070C0"/>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80AE-4D26-A150-8FAE5CF11C26}"/>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80AE-4D26-A150-8FAE5CF11C2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HRP!$F$79:$F$81</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HRP!$H$79:$H$81</c:f>
              <c:numCache>
                <c:formatCode>_(* #,##0_);_(* \(#,##0\);_(* "-"??_);_(@_)</c:formatCode>
                <c:ptCount val="3"/>
                <c:pt idx="0">
                  <c:v>118323</c:v>
                </c:pt>
                <c:pt idx="1">
                  <c:v>90648</c:v>
                </c:pt>
                <c:pt idx="2">
                  <c:v>114301.49333333335</c:v>
                </c:pt>
              </c:numCache>
            </c:numRef>
          </c:val>
          <c:extLst>
            <c:ext xmlns:c16="http://schemas.microsoft.com/office/drawing/2014/chart" uri="{C3380CC4-5D6E-409C-BE32-E72D297353CC}">
              <c16:uniqueId val="{00000008-80AE-4D26-A150-8FAE5CF11C26}"/>
            </c:ext>
          </c:extLst>
        </c:ser>
        <c:ser>
          <c:idx val="1"/>
          <c:order val="1"/>
          <c:tx>
            <c:strRef>
              <c:f>HRP!$I$78</c:f>
              <c:strCache>
                <c:ptCount val="1"/>
                <c:pt idx="0">
                  <c:v>Gap</c:v>
                </c:pt>
              </c:strCache>
            </c:strRef>
          </c:tx>
          <c:spPr>
            <a:solidFill>
              <a:schemeClr val="accent1">
                <a:lumMod val="40000"/>
                <a:lumOff val="60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A-80AE-4D26-A150-8FAE5CF11C26}"/>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C-80AE-4D26-A150-8FAE5CF11C26}"/>
              </c:ext>
            </c:extLst>
          </c:dPt>
          <c:dLbls>
            <c:dLbl>
              <c:idx val="0"/>
              <c:delete val="1"/>
              <c:extLst>
                <c:ext xmlns:c15="http://schemas.microsoft.com/office/drawing/2012/chart" uri="{CE6537A1-D6FC-4f65-9D91-7224C49458BB}"/>
                <c:ext xmlns:c16="http://schemas.microsoft.com/office/drawing/2014/chart" uri="{C3380CC4-5D6E-409C-BE32-E72D297353CC}">
                  <c16:uniqueId val="{0000000A-80AE-4D26-A150-8FAE5CF11C26}"/>
                </c:ext>
              </c:extLst>
            </c:dLbl>
            <c:dLbl>
              <c:idx val="2"/>
              <c:layout>
                <c:manualLayout>
                  <c:x val="-1.8046247343303647E-2"/>
                  <c:y val="8.06663998953098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0AE-4D26-A150-8FAE5CF11C2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HRP!$F$79:$F$81</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HRP!$I$79:$I$81</c:f>
              <c:numCache>
                <c:formatCode>_(* #,##0_);_(* \(#,##0\);_(* "-"??_);_(@_)</c:formatCode>
                <c:ptCount val="3"/>
                <c:pt idx="0">
                  <c:v>-7264</c:v>
                </c:pt>
                <c:pt idx="1">
                  <c:v>20411</c:v>
                </c:pt>
                <c:pt idx="2">
                  <c:v>-3242.4933333333465</c:v>
                </c:pt>
              </c:numCache>
            </c:numRef>
          </c:val>
          <c:extLst>
            <c:ext xmlns:c16="http://schemas.microsoft.com/office/drawing/2014/chart" uri="{C3380CC4-5D6E-409C-BE32-E72D297353CC}">
              <c16:uniqueId val="{00000013-80AE-4D26-A150-8FAE5CF11C26}"/>
            </c:ext>
          </c:extLst>
        </c:ser>
        <c:dLbls>
          <c:showLegendKey val="0"/>
          <c:showVal val="0"/>
          <c:showCatName val="0"/>
          <c:showSerName val="0"/>
          <c:showPercent val="0"/>
          <c:showBubbleSize val="0"/>
        </c:dLbls>
        <c:gapWidth val="150"/>
        <c:overlap val="100"/>
        <c:axId val="417013888"/>
        <c:axId val="417006440"/>
      </c:barChart>
      <c:catAx>
        <c:axId val="4170138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2"/>
                </a:solidFill>
                <a:latin typeface="+mn-lt"/>
                <a:ea typeface="+mn-ea"/>
                <a:cs typeface="+mn-cs"/>
              </a:defRPr>
            </a:pPr>
            <a:endParaRPr lang="en-US"/>
          </a:p>
        </c:txPr>
        <c:crossAx val="417006440"/>
        <c:crosses val="autoZero"/>
        <c:auto val="1"/>
        <c:lblAlgn val="ctr"/>
        <c:lblOffset val="100"/>
        <c:noMultiLvlLbl val="0"/>
      </c:catAx>
      <c:valAx>
        <c:axId val="417006440"/>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1388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[20190813_Myanmar_WASH_4W_2019_Q2_Rakhine_camp_Consolidate_DRAFT.xlsx]Analysis!PivotTable14</c:name>
    <c:fmtId val="9"/>
  </c:pivotSource>
  <c:chart>
    <c:title>
      <c:tx>
        <c:rich>
          <a:bodyPr rot="0" spcFirstLastPara="1" vertOverflow="ellipsis" vert="horz" wrap="square" anchor="ctr" anchorCtr="1"/>
          <a:lstStyle/>
          <a:p>
            <a:pPr>
              <a:defRPr sz="1400" b="1" i="0" u="none" strike="noStrike" kern="1200" baseline="0">
                <a:solidFill>
                  <a:srgbClr val="44546A"/>
                </a:solidFill>
                <a:latin typeface="+mn-lt"/>
                <a:ea typeface="+mn-ea"/>
                <a:cs typeface="+mn-cs"/>
              </a:defRPr>
            </a:pPr>
            <a:r>
              <a:rPr lang="en-US" sz="1400" b="1" i="0" baseline="0">
                <a:solidFill>
                  <a:srgbClr val="44546A"/>
                </a:solidFill>
                <a:effectLst/>
              </a:rPr>
              <a:t>WASH in Temporary Learning Spaces </a:t>
            </a:r>
            <a:endParaRPr lang="en-US" sz="1400" b="1">
              <a:solidFill>
                <a:srgbClr val="44546A"/>
              </a:solidFill>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rgbClr val="44546A"/>
              </a:solidFill>
              <a:latin typeface="+mn-lt"/>
              <a:ea typeface="+mn-ea"/>
              <a:cs typeface="+mn-cs"/>
            </a:defRPr>
          </a:pPr>
          <a:endParaRPr lang="en-US"/>
        </a:p>
      </c:txPr>
    </c:title>
    <c:autoTitleDeleted val="0"/>
    <c:pivotFmts>
      <c:pivotFmt>
        <c:idx val="0"/>
        <c:spPr>
          <a:solidFill>
            <a:srgbClr val="0070C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75000"/>
            </a:schemeClr>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2669632380348723E-2"/>
          <c:y val="0.15182940960512162"/>
          <c:w val="0.9546607352393025"/>
          <c:h val="0.52061484330604624"/>
        </c:manualLayout>
      </c:layout>
      <c:barChart>
        <c:barDir val="bar"/>
        <c:grouping val="clustered"/>
        <c:varyColors val="0"/>
        <c:ser>
          <c:idx val="0"/>
          <c:order val="0"/>
          <c:tx>
            <c:strRef>
              <c:f>Analysis!$D$324</c:f>
              <c:strCache>
                <c:ptCount val="1"/>
                <c:pt idx="0">
                  <c:v># of latrines in TLS/CFS</c:v>
                </c:pt>
              </c:strCache>
            </c:strRef>
          </c:tx>
          <c:spPr>
            <a:solidFill>
              <a:schemeClr val="accent2">
                <a:lumMod val="75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Analysis!$C$325</c:f>
              <c:strCache>
                <c:ptCount val="1"/>
                <c:pt idx="0">
                  <c:v>Central Rakhine</c:v>
                </c:pt>
              </c:strCache>
            </c:strRef>
          </c:cat>
          <c:val>
            <c:numRef>
              <c:f>Analysis!$D$325</c:f>
              <c:numCache>
                <c:formatCode>_(* #,##0_);_(* \(#,##0\);_(* "-"??_);_(@_)</c:formatCode>
                <c:ptCount val="1"/>
                <c:pt idx="0">
                  <c:v>179</c:v>
                </c:pt>
              </c:numCache>
            </c:numRef>
          </c:val>
          <c:extLst>
            <c:ext xmlns:c16="http://schemas.microsoft.com/office/drawing/2014/chart" uri="{C3380CC4-5D6E-409C-BE32-E72D297353CC}">
              <c16:uniqueId val="{0000000A-EFC4-4341-8288-90A696ADD9D3}"/>
            </c:ext>
          </c:extLst>
        </c:ser>
        <c:ser>
          <c:idx val="1"/>
          <c:order val="1"/>
          <c:tx>
            <c:strRef>
              <c:f>Analysis!$E$324</c:f>
              <c:strCache>
                <c:ptCount val="1"/>
                <c:pt idx="0">
                  <c:v> # Functional water points in TLS/CFS</c:v>
                </c:pt>
              </c:strCache>
            </c:strRef>
          </c:tx>
          <c:spPr>
            <a:solidFill>
              <a:srgbClr val="0070C0"/>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Analysis!$C$325</c:f>
              <c:strCache>
                <c:ptCount val="1"/>
                <c:pt idx="0">
                  <c:v>Central Rakhine</c:v>
                </c:pt>
              </c:strCache>
            </c:strRef>
          </c:cat>
          <c:val>
            <c:numRef>
              <c:f>Analysis!$E$325</c:f>
              <c:numCache>
                <c:formatCode>_(* #,##0_);_(* \(#,##0\);_(* "-"??_);_(@_)</c:formatCode>
                <c:ptCount val="1"/>
                <c:pt idx="0">
                  <c:v>54</c:v>
                </c:pt>
              </c:numCache>
            </c:numRef>
          </c:val>
          <c:extLst>
            <c:ext xmlns:c16="http://schemas.microsoft.com/office/drawing/2014/chart" uri="{C3380CC4-5D6E-409C-BE32-E72D297353CC}">
              <c16:uniqueId val="{0000000B-EFC4-4341-8288-90A696ADD9D3}"/>
            </c:ext>
          </c:extLst>
        </c:ser>
        <c:dLbls>
          <c:dLblPos val="outEnd"/>
          <c:showLegendKey val="0"/>
          <c:showVal val="1"/>
          <c:showCatName val="0"/>
          <c:showSerName val="0"/>
          <c:showPercent val="0"/>
          <c:showBubbleSize val="0"/>
        </c:dLbls>
        <c:gapWidth val="115"/>
        <c:overlap val="-20"/>
        <c:axId val="419842040"/>
        <c:axId val="419849488"/>
      </c:barChart>
      <c:catAx>
        <c:axId val="419842040"/>
        <c:scaling>
          <c:orientation val="minMax"/>
        </c:scaling>
        <c:delete val="1"/>
        <c:axPos val="l"/>
        <c:numFmt formatCode="General" sourceLinked="1"/>
        <c:majorTickMark val="none"/>
        <c:minorTickMark val="none"/>
        <c:tickLblPos val="nextTo"/>
        <c:crossAx val="419849488"/>
        <c:crosses val="autoZero"/>
        <c:auto val="1"/>
        <c:lblAlgn val="ctr"/>
        <c:lblOffset val="100"/>
        <c:noMultiLvlLbl val="0"/>
      </c:catAx>
      <c:valAx>
        <c:axId val="419849488"/>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crossAx val="419842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44546A"/>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[20190813_Myanmar_WASH_4W_2019_Q2_Rakhine_camp_Consolidate_DRAFT.xlsx]Analysis!R_water1</c:name>
    <c:fmtId val="15"/>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Water Point Coverage</a:t>
            </a:r>
          </a:p>
        </c:rich>
      </c:tx>
      <c:layout>
        <c:manualLayout>
          <c:xMode val="edge"/>
          <c:yMode val="edge"/>
          <c:x val="0.27116957358570926"/>
          <c:y val="3.7086255246515966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ymbol val="circle"/>
          <c:size val="6"/>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w="12700">
              <a:solidFill>
                <a:schemeClr val="l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marker>
          <c:symbol val="circle"/>
          <c:size val="6"/>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w="12700">
              <a:solidFill>
                <a:schemeClr val="l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724496922737123E-2"/>
          <c:y val="0.19490881723727033"/>
          <c:w val="0.72743677504115245"/>
          <c:h val="0.59267685736784093"/>
        </c:manualLayout>
      </c:layout>
      <c:barChart>
        <c:barDir val="col"/>
        <c:grouping val="percentStacked"/>
        <c:varyColors val="0"/>
        <c:ser>
          <c:idx val="0"/>
          <c:order val="0"/>
          <c:tx>
            <c:strRef>
              <c:f>Analysis!$C$28</c:f>
              <c:strCache>
                <c:ptCount val="1"/>
                <c:pt idx="0">
                  <c:v>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Analysis!$B$29</c:f>
              <c:strCache>
                <c:ptCount val="1"/>
                <c:pt idx="0">
                  <c:v>Camp</c:v>
                </c:pt>
              </c:strCache>
            </c:strRef>
          </c:cat>
          <c:val>
            <c:numRef>
              <c:f>Analysis!$C$29</c:f>
              <c:numCache>
                <c:formatCode>0</c:formatCode>
                <c:ptCount val="1"/>
                <c:pt idx="0">
                  <c:v>228.60298666666665</c:v>
                </c:pt>
              </c:numCache>
            </c:numRef>
          </c:val>
          <c:extLst>
            <c:ext xmlns:c16="http://schemas.microsoft.com/office/drawing/2014/chart" uri="{C3380CC4-5D6E-409C-BE32-E72D297353CC}">
              <c16:uniqueId val="{00000000-BD7C-468D-AE70-E23E797264C1}"/>
            </c:ext>
          </c:extLst>
        </c:ser>
        <c:ser>
          <c:idx val="1"/>
          <c:order val="1"/>
          <c:tx>
            <c:strRef>
              <c:f>Analysis!$D$28</c:f>
              <c:strCache>
                <c:ptCount val="1"/>
                <c:pt idx="0">
                  <c:v>Gap</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Analysis!$B$29</c:f>
              <c:strCache>
                <c:ptCount val="1"/>
                <c:pt idx="0">
                  <c:v>Camp</c:v>
                </c:pt>
              </c:strCache>
            </c:strRef>
          </c:cat>
          <c:val>
            <c:numRef>
              <c:f>Analysis!$D$29</c:f>
              <c:numCache>
                <c:formatCode>0</c:formatCode>
                <c:ptCount val="1"/>
                <c:pt idx="0">
                  <c:v>11.963013333333331</c:v>
                </c:pt>
              </c:numCache>
            </c:numRef>
          </c:val>
          <c:extLst>
            <c:ext xmlns:c16="http://schemas.microsoft.com/office/drawing/2014/chart" uri="{C3380CC4-5D6E-409C-BE32-E72D297353CC}">
              <c16:uniqueId val="{00000001-BD7C-468D-AE70-E23E797264C1}"/>
            </c:ext>
          </c:extLst>
        </c:ser>
        <c:dLbls>
          <c:dLblPos val="ctr"/>
          <c:showLegendKey val="0"/>
          <c:showVal val="1"/>
          <c:showCatName val="0"/>
          <c:showSerName val="0"/>
          <c:showPercent val="0"/>
          <c:showBubbleSize val="0"/>
        </c:dLbls>
        <c:gapWidth val="150"/>
        <c:overlap val="100"/>
        <c:axId val="417005656"/>
        <c:axId val="417006048"/>
      </c:barChart>
      <c:catAx>
        <c:axId val="4170056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06048"/>
        <c:crosses val="autoZero"/>
        <c:auto val="1"/>
        <c:lblAlgn val="ctr"/>
        <c:lblOffset val="100"/>
        <c:noMultiLvlLbl val="0"/>
      </c:catAx>
      <c:valAx>
        <c:axId val="41700604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7005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 of Sites which made water quality test at water sources</a:t>
            </a:r>
            <a:endParaRPr lang="en-US" sz="1400">
              <a:effectLst/>
            </a:endParaRPr>
          </a:p>
        </c:rich>
      </c:tx>
      <c:layout>
        <c:manualLayout>
          <c:xMode val="edge"/>
          <c:yMode val="edge"/>
          <c:x val="0.1741399946534461"/>
          <c:y val="1.73725976982461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5.053678186060076E-2"/>
          <c:y val="0.27814053107301084"/>
          <c:w val="0.4369630357259669"/>
          <c:h val="0.45783261663363806"/>
        </c:manualLayout>
      </c:layout>
      <c:pieChart>
        <c:varyColors val="1"/>
        <c:ser>
          <c:idx val="0"/>
          <c:order val="0"/>
          <c:tx>
            <c:strRef>
              <c:f>Analysis!$H$45</c:f>
              <c:strCache>
                <c:ptCount val="1"/>
                <c:pt idx="0">
                  <c:v>Central Rakhine</c:v>
                </c:pt>
              </c:strCache>
            </c:strRef>
          </c:tx>
          <c:dPt>
            <c:idx val="0"/>
            <c:bubble3D val="0"/>
            <c:spPr>
              <a:solidFill>
                <a:srgbClr val="0070C0"/>
              </a:solidFill>
              <a:ln>
                <a:noFill/>
              </a:ln>
              <a:effectLst/>
            </c:spPr>
            <c:extLst xmlns:c15="http://schemas.microsoft.com/office/drawing/2012/chart">
              <c:ext xmlns:c16="http://schemas.microsoft.com/office/drawing/2014/chart" uri="{C3380CC4-5D6E-409C-BE32-E72D297353CC}">
                <c16:uniqueId val="{00000001-78DD-4321-8323-0F3AD2BF55E9}"/>
              </c:ext>
            </c:extLst>
          </c:dPt>
          <c:dPt>
            <c:idx val="1"/>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3-78DD-4321-8323-0F3AD2BF55E9}"/>
              </c:ext>
            </c:extLst>
          </c:dPt>
          <c:dLbls>
            <c:dLbl>
              <c:idx val="0"/>
              <c:layout>
                <c:manualLayout>
                  <c:x val="-0.14812387054953108"/>
                  <c:y val="-8.7415644643311446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8DD-4321-8323-0F3AD2BF55E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Analysis!$J$44:$K$44</c:f>
              <c:strCache>
                <c:ptCount val="2"/>
                <c:pt idx="0">
                  <c:v>Tested</c:v>
                </c:pt>
                <c:pt idx="1">
                  <c:v>No Test</c:v>
                </c:pt>
              </c:strCache>
            </c:strRef>
          </c:cat>
          <c:val>
            <c:numRef>
              <c:f>Analysis!$J$45:$K$45</c:f>
              <c:numCache>
                <c:formatCode>0</c:formatCode>
                <c:ptCount val="2"/>
                <c:pt idx="0" formatCode="General">
                  <c:v>16</c:v>
                </c:pt>
                <c:pt idx="1">
                  <c:v>9</c:v>
                </c:pt>
              </c:numCache>
            </c:numRef>
          </c:val>
          <c:extLst xmlns:c15="http://schemas.microsoft.com/office/drawing/2012/chart">
            <c:ext xmlns:c16="http://schemas.microsoft.com/office/drawing/2014/chart" uri="{C3380CC4-5D6E-409C-BE32-E72D297353CC}">
              <c16:uniqueId val="{00000004-78DD-4321-8323-0F3AD2BF55E9}"/>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b"/>
      <c:layout>
        <c:manualLayout>
          <c:xMode val="edge"/>
          <c:yMode val="edge"/>
          <c:x val="0"/>
          <c:y val="0.79596090628282512"/>
          <c:w val="0.43495323647924289"/>
          <c:h val="8.90490784748103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sz="1400" b="1" i="0" baseline="0">
                <a:effectLst/>
              </a:rPr>
              <a:t>% of Sites which made water quality test at household</a:t>
            </a:r>
            <a:endParaRPr lang="en-US" sz="1400">
              <a:effectLst/>
            </a:endParaRPr>
          </a:p>
        </c:rich>
      </c:tx>
      <c:layout>
        <c:manualLayout>
          <c:xMode val="edge"/>
          <c:yMode val="edge"/>
          <c:x val="0.16675324438611841"/>
          <c:y val="2.593402102378772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1.2836893652182366E-2"/>
          <c:y val="0.31277362204724407"/>
          <c:w val="0.44491500194420142"/>
          <c:h val="0.41186417322834645"/>
        </c:manualLayout>
      </c:layout>
      <c:pieChart>
        <c:varyColors val="1"/>
        <c:ser>
          <c:idx val="0"/>
          <c:order val="0"/>
          <c:tx>
            <c:strRef>
              <c:f>Analysis!$V$45</c:f>
              <c:strCache>
                <c:ptCount val="1"/>
                <c:pt idx="0">
                  <c:v>Central Rakhine</c:v>
                </c:pt>
              </c:strCache>
            </c:strRef>
          </c:tx>
          <c:dPt>
            <c:idx val="0"/>
            <c:bubble3D val="0"/>
            <c:spPr>
              <a:solidFill>
                <a:srgbClr val="0070C0"/>
              </a:solidFill>
              <a:ln>
                <a:noFill/>
              </a:ln>
              <a:effectLst/>
            </c:spPr>
            <c:extLst xmlns:c15="http://schemas.microsoft.com/office/drawing/2012/chart">
              <c:ext xmlns:c16="http://schemas.microsoft.com/office/drawing/2014/chart" uri="{C3380CC4-5D6E-409C-BE32-E72D297353CC}">
                <c16:uniqueId val="{00000006-9702-49DA-9C90-2459AE5B6D9F}"/>
              </c:ext>
            </c:extLst>
          </c:dPt>
          <c:dPt>
            <c:idx val="1"/>
            <c:bubble3D val="0"/>
            <c:spPr>
              <a:solidFill>
                <a:schemeClr val="accent1">
                  <a:lumMod val="40000"/>
                  <a:lumOff val="60000"/>
                </a:schemeClr>
              </a:solidFill>
              <a:ln>
                <a:noFill/>
              </a:ln>
              <a:effectLst/>
            </c:spPr>
            <c:extLst xmlns:c15="http://schemas.microsoft.com/office/drawing/2012/chart">
              <c:ext xmlns:c16="http://schemas.microsoft.com/office/drawing/2014/chart" uri="{C3380CC4-5D6E-409C-BE32-E72D297353CC}">
                <c16:uniqueId val="{00000008-9702-49DA-9C90-2459AE5B6D9F}"/>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6-9702-49DA-9C90-2459AE5B6D9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Analysis!$X$44:$Y$44</c:f>
              <c:strCache>
                <c:ptCount val="2"/>
                <c:pt idx="0">
                  <c:v>Tested</c:v>
                </c:pt>
                <c:pt idx="1">
                  <c:v>No test</c:v>
                </c:pt>
              </c:strCache>
            </c:strRef>
          </c:cat>
          <c:val>
            <c:numRef>
              <c:f>Analysis!$X$45:$Y$45</c:f>
              <c:numCache>
                <c:formatCode>General</c:formatCode>
                <c:ptCount val="2"/>
                <c:pt idx="0">
                  <c:v>13</c:v>
                </c:pt>
                <c:pt idx="1">
                  <c:v>12</c:v>
                </c:pt>
              </c:numCache>
            </c:numRef>
          </c:val>
          <c:extLst xmlns:c15="http://schemas.microsoft.com/office/drawing/2012/chart">
            <c:ext xmlns:c16="http://schemas.microsoft.com/office/drawing/2014/chart" uri="{C3380CC4-5D6E-409C-BE32-E72D297353CC}">
              <c16:uniqueId val="{00000009-9702-49DA-9C90-2459AE5B6D9F}"/>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b"/>
      <c:layout>
        <c:manualLayout>
          <c:xMode val="edge"/>
          <c:yMode val="edge"/>
          <c:x val="1.4640444250024301E-2"/>
          <c:y val="0.80190622460601657"/>
          <c:w val="0.43831140031107224"/>
          <c:h val="7.322694038245219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Analysis!$L$44</c:f>
              <c:strCache>
                <c:ptCount val="1"/>
                <c:pt idx="0">
                  <c:v># Tested</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Analysis!$H$45</c:f>
              <c:strCache>
                <c:ptCount val="1"/>
                <c:pt idx="0">
                  <c:v>Central Rakhine</c:v>
                </c:pt>
              </c:strCache>
            </c:strRef>
          </c:cat>
          <c:val>
            <c:numRef>
              <c:f>Analysis!$L$45</c:f>
              <c:numCache>
                <c:formatCode>General</c:formatCode>
                <c:ptCount val="1"/>
                <c:pt idx="0">
                  <c:v>1083</c:v>
                </c:pt>
              </c:numCache>
            </c:numRef>
          </c:val>
          <c:extLst>
            <c:ext xmlns:c16="http://schemas.microsoft.com/office/drawing/2014/chart" uri="{C3380CC4-5D6E-409C-BE32-E72D297353CC}">
              <c16:uniqueId val="{00000000-1E36-40E1-814F-65F10EF1B9EE}"/>
            </c:ext>
          </c:extLst>
        </c:ser>
        <c:ser>
          <c:idx val="1"/>
          <c:order val="1"/>
          <c:tx>
            <c:strRef>
              <c:f>Analysis!$M$44</c:f>
              <c:strCache>
                <c:ptCount val="1"/>
                <c:pt idx="0">
                  <c:v> # Passed</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Analysis!$H$45</c:f>
              <c:strCache>
                <c:ptCount val="1"/>
                <c:pt idx="0">
                  <c:v>Central Rakhine</c:v>
                </c:pt>
              </c:strCache>
            </c:strRef>
          </c:cat>
          <c:val>
            <c:numRef>
              <c:f>Analysis!$M$45</c:f>
              <c:numCache>
                <c:formatCode>General</c:formatCode>
                <c:ptCount val="1"/>
                <c:pt idx="0">
                  <c:v>693</c:v>
                </c:pt>
              </c:numCache>
            </c:numRef>
          </c:val>
          <c:extLst>
            <c:ext xmlns:c16="http://schemas.microsoft.com/office/drawing/2014/chart" uri="{C3380CC4-5D6E-409C-BE32-E72D297353CC}">
              <c16:uniqueId val="{00000001-1E36-40E1-814F-65F10EF1B9EE}"/>
            </c:ext>
          </c:extLst>
        </c:ser>
        <c:dLbls>
          <c:showLegendKey val="0"/>
          <c:showVal val="0"/>
          <c:showCatName val="0"/>
          <c:showSerName val="0"/>
          <c:showPercent val="0"/>
          <c:showBubbleSize val="0"/>
        </c:dLbls>
        <c:gapWidth val="150"/>
        <c:overlap val="100"/>
        <c:axId val="1332863680"/>
        <c:axId val="1335493040"/>
      </c:barChart>
      <c:catAx>
        <c:axId val="13328636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35493040"/>
        <c:crosses val="autoZero"/>
        <c:auto val="1"/>
        <c:lblAlgn val="ctr"/>
        <c:lblOffset val="100"/>
        <c:noMultiLvlLbl val="0"/>
      </c:catAx>
      <c:valAx>
        <c:axId val="1335493040"/>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32863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Analysis!$Z$44</c:f>
              <c:strCache>
                <c:ptCount val="1"/>
                <c:pt idx="0">
                  <c:v> # Tested</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Analysis!$V$45</c:f>
              <c:strCache>
                <c:ptCount val="1"/>
                <c:pt idx="0">
                  <c:v>Central Rakhine</c:v>
                </c:pt>
              </c:strCache>
            </c:strRef>
          </c:cat>
          <c:val>
            <c:numRef>
              <c:f>Analysis!$Z$45</c:f>
              <c:numCache>
                <c:formatCode>General</c:formatCode>
                <c:ptCount val="1"/>
                <c:pt idx="0">
                  <c:v>811</c:v>
                </c:pt>
              </c:numCache>
            </c:numRef>
          </c:val>
          <c:extLst>
            <c:ext xmlns:c16="http://schemas.microsoft.com/office/drawing/2014/chart" uri="{C3380CC4-5D6E-409C-BE32-E72D297353CC}">
              <c16:uniqueId val="{00000000-2561-4177-8BEC-CDB4EA7272E2}"/>
            </c:ext>
          </c:extLst>
        </c:ser>
        <c:ser>
          <c:idx val="1"/>
          <c:order val="1"/>
          <c:tx>
            <c:strRef>
              <c:f>Analysis!$AA$44</c:f>
              <c:strCache>
                <c:ptCount val="1"/>
                <c:pt idx="0">
                  <c:v> # Passed</c:v>
                </c:pt>
              </c:strCache>
            </c:strRef>
          </c:tx>
          <c:spPr>
            <a:solidFill>
              <a:schemeClr val="accent1">
                <a:lumMod val="40000"/>
                <a:lumOff val="60000"/>
              </a:schemeClr>
            </a:solidFill>
            <a:ln>
              <a:noFill/>
            </a:ln>
            <a:effectLst/>
          </c:spPr>
          <c:invertIfNegative val="0"/>
          <c:dLbls>
            <c:dLbl>
              <c:idx val="0"/>
              <c:layout>
                <c:manualLayout>
                  <c:x val="-6.3656672040099962E-17"/>
                  <c:y val="-3.66748078001829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61-4177-8BEC-CDB4EA7272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Analysis!$V$45</c:f>
              <c:strCache>
                <c:ptCount val="1"/>
                <c:pt idx="0">
                  <c:v>Central Rakhine</c:v>
                </c:pt>
              </c:strCache>
            </c:strRef>
          </c:cat>
          <c:val>
            <c:numRef>
              <c:f>Analysis!$AA$45</c:f>
              <c:numCache>
                <c:formatCode>General</c:formatCode>
                <c:ptCount val="1"/>
                <c:pt idx="0">
                  <c:v>11</c:v>
                </c:pt>
              </c:numCache>
            </c:numRef>
          </c:val>
          <c:extLst>
            <c:ext xmlns:c16="http://schemas.microsoft.com/office/drawing/2014/chart" uri="{C3380CC4-5D6E-409C-BE32-E72D297353CC}">
              <c16:uniqueId val="{00000001-2561-4177-8BEC-CDB4EA7272E2}"/>
            </c:ext>
          </c:extLst>
        </c:ser>
        <c:dLbls>
          <c:showLegendKey val="0"/>
          <c:showVal val="0"/>
          <c:showCatName val="0"/>
          <c:showSerName val="0"/>
          <c:showPercent val="0"/>
          <c:showBubbleSize val="0"/>
        </c:dLbls>
        <c:gapWidth val="150"/>
        <c:overlap val="100"/>
        <c:axId val="1187118288"/>
        <c:axId val="1344061744"/>
      </c:barChart>
      <c:catAx>
        <c:axId val="118711828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44061744"/>
        <c:crosses val="autoZero"/>
        <c:auto val="1"/>
        <c:lblAlgn val="ctr"/>
        <c:lblOffset val="100"/>
        <c:noMultiLvlLbl val="0"/>
      </c:catAx>
      <c:valAx>
        <c:axId val="1344061744"/>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18711828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feel safe</a:t>
            </a:r>
            <a:r>
              <a:rPr lang="en-US" sz="1400" baseline="0"/>
              <a:t> to use latrines when they need to </a:t>
            </a:r>
          </a:p>
          <a:p>
            <a:pPr>
              <a:defRPr sz="1400"/>
            </a:pPr>
            <a:r>
              <a:rPr lang="en-US" sz="1400" baseline="0"/>
              <a:t>(or at day/night)</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2179681841413645"/>
          <c:y val="0.16477757833542139"/>
          <c:w val="0.82558125126353432"/>
          <c:h val="0.61381571255811929"/>
        </c:manualLayout>
      </c:layout>
      <c:barChart>
        <c:barDir val="bar"/>
        <c:grouping val="percentStacked"/>
        <c:varyColors val="0"/>
        <c:ser>
          <c:idx val="0"/>
          <c:order val="0"/>
          <c:tx>
            <c:strRef>
              <c:f>Analysis!$G$111</c:f>
              <c:strCache>
                <c:ptCount val="1"/>
                <c:pt idx="0">
                  <c:v>Safe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Analysis!$F$112:$F$115</c:f>
              <c:strCache>
                <c:ptCount val="4"/>
                <c:pt idx="0">
                  <c:v>Men</c:v>
                </c:pt>
                <c:pt idx="1">
                  <c:v>Women</c:v>
                </c:pt>
                <c:pt idx="2">
                  <c:v>Boys</c:v>
                </c:pt>
                <c:pt idx="3">
                  <c:v>Girls</c:v>
                </c:pt>
              </c:strCache>
            </c:strRef>
          </c:cat>
          <c:val>
            <c:numRef>
              <c:f>Analysis!$G$112:$G$115</c:f>
              <c:numCache>
                <c:formatCode>0%</c:formatCode>
                <c:ptCount val="4"/>
                <c:pt idx="0">
                  <c:v>0.8600000000000001</c:v>
                </c:pt>
                <c:pt idx="1">
                  <c:v>0.67294117647058838</c:v>
                </c:pt>
                <c:pt idx="2">
                  <c:v>0.62941176470588234</c:v>
                </c:pt>
                <c:pt idx="3">
                  <c:v>0.62470588235294111</c:v>
                </c:pt>
              </c:numCache>
            </c:numRef>
          </c:val>
          <c:extLst>
            <c:ext xmlns:c16="http://schemas.microsoft.com/office/drawing/2014/chart" uri="{C3380CC4-5D6E-409C-BE32-E72D297353CC}">
              <c16:uniqueId val="{00000000-5C59-4926-A64C-74A08B132187}"/>
            </c:ext>
          </c:extLst>
        </c:ser>
        <c:ser>
          <c:idx val="1"/>
          <c:order val="1"/>
          <c:tx>
            <c:strRef>
              <c:f>Analysis!$H$111</c:f>
              <c:strCache>
                <c:ptCount val="1"/>
                <c:pt idx="0">
                  <c:v>Unsafe</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Analysis!$F$112:$F$115</c:f>
              <c:strCache>
                <c:ptCount val="4"/>
                <c:pt idx="0">
                  <c:v>Men</c:v>
                </c:pt>
                <c:pt idx="1">
                  <c:v>Women</c:v>
                </c:pt>
                <c:pt idx="2">
                  <c:v>Boys</c:v>
                </c:pt>
                <c:pt idx="3">
                  <c:v>Girls</c:v>
                </c:pt>
              </c:strCache>
            </c:strRef>
          </c:cat>
          <c:val>
            <c:numRef>
              <c:f>Analysis!$H$112:$H$115</c:f>
              <c:numCache>
                <c:formatCode>0%</c:formatCode>
                <c:ptCount val="4"/>
                <c:pt idx="0">
                  <c:v>0.1399999999999999</c:v>
                </c:pt>
                <c:pt idx="1">
                  <c:v>0.32705882352941162</c:v>
                </c:pt>
                <c:pt idx="2">
                  <c:v>0.37058823529411766</c:v>
                </c:pt>
                <c:pt idx="3">
                  <c:v>0.37529411764705889</c:v>
                </c:pt>
              </c:numCache>
            </c:numRef>
          </c:val>
          <c:extLst>
            <c:ext xmlns:c16="http://schemas.microsoft.com/office/drawing/2014/chart" uri="{C3380CC4-5D6E-409C-BE32-E72D297353CC}">
              <c16:uniqueId val="{00000001-5C59-4926-A64C-74A08B132187}"/>
            </c:ext>
          </c:extLst>
        </c:ser>
        <c:dLbls>
          <c:showLegendKey val="0"/>
          <c:showVal val="0"/>
          <c:showCatName val="0"/>
          <c:showSerName val="0"/>
          <c:showPercent val="0"/>
          <c:showBubbleSize val="0"/>
        </c:dLbls>
        <c:gapWidth val="150"/>
        <c:overlap val="100"/>
        <c:axId val="240704655"/>
        <c:axId val="2054818927"/>
      </c:barChart>
      <c:catAx>
        <c:axId val="240704655"/>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2054818927"/>
        <c:crosses val="autoZero"/>
        <c:auto val="1"/>
        <c:lblAlgn val="ctr"/>
        <c:lblOffset val="100"/>
        <c:noMultiLvlLbl val="0"/>
      </c:catAx>
      <c:valAx>
        <c:axId val="2054818927"/>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240704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Rakhine Number of ppl Covered</a:t>
            </a:r>
            <a:r>
              <a:rPr lang="en-US" sz="1400" baseline="0"/>
              <a:t> against 2019 HRP targets</a:t>
            </a:r>
          </a:p>
          <a:p>
            <a:pPr>
              <a:defRPr sz="1400"/>
            </a:pPr>
            <a:r>
              <a:rPr lang="en-US" sz="1400"/>
              <a:t> (in</a:t>
            </a:r>
            <a:r>
              <a:rPr lang="en-US" sz="1400" baseline="0"/>
              <a:t> IDP camps)</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HRP!$H$78</c:f>
              <c:strCache>
                <c:ptCount val="1"/>
                <c:pt idx="0">
                  <c:v>Coverage</c:v>
                </c:pt>
              </c:strCache>
            </c:strRef>
          </c:tx>
          <c:spPr>
            <a:solidFill>
              <a:srgbClr val="0070C0"/>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E308-4CE9-A15B-A8FE38957C12}"/>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E308-4CE9-A15B-A8FE38957C12}"/>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HRP!$F$79:$F$81</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HRP!$H$79:$H$81</c:f>
              <c:numCache>
                <c:formatCode>_(* #,##0_);_(* \(#,##0\);_(* "-"??_);_(@_)</c:formatCode>
                <c:ptCount val="3"/>
                <c:pt idx="0">
                  <c:v>118323</c:v>
                </c:pt>
                <c:pt idx="1">
                  <c:v>90648</c:v>
                </c:pt>
                <c:pt idx="2">
                  <c:v>114301.49333333335</c:v>
                </c:pt>
              </c:numCache>
            </c:numRef>
          </c:val>
          <c:extLst>
            <c:ext xmlns:c16="http://schemas.microsoft.com/office/drawing/2014/chart" uri="{C3380CC4-5D6E-409C-BE32-E72D297353CC}">
              <c16:uniqueId val="{00000008-E308-4CE9-A15B-A8FE38957C12}"/>
            </c:ext>
          </c:extLst>
        </c:ser>
        <c:ser>
          <c:idx val="1"/>
          <c:order val="1"/>
          <c:tx>
            <c:strRef>
              <c:f>HRP!$I$78</c:f>
              <c:strCache>
                <c:ptCount val="1"/>
                <c:pt idx="0">
                  <c:v>Gap</c:v>
                </c:pt>
              </c:strCache>
            </c:strRef>
          </c:tx>
          <c:spPr>
            <a:solidFill>
              <a:schemeClr val="accent1">
                <a:lumMod val="40000"/>
                <a:lumOff val="60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A-E308-4CE9-A15B-A8FE38957C12}"/>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C-E308-4CE9-A15B-A8FE38957C12}"/>
              </c:ext>
            </c:extLst>
          </c:dPt>
          <c:dLbls>
            <c:dLbl>
              <c:idx val="0"/>
              <c:delete val="1"/>
              <c:extLst>
                <c:ext xmlns:c15="http://schemas.microsoft.com/office/drawing/2012/chart" uri="{CE6537A1-D6FC-4f65-9D91-7224C49458BB}"/>
                <c:ext xmlns:c16="http://schemas.microsoft.com/office/drawing/2014/chart" uri="{C3380CC4-5D6E-409C-BE32-E72D297353CC}">
                  <c16:uniqueId val="{0000000A-E308-4CE9-A15B-A8FE38957C12}"/>
                </c:ext>
              </c:extLst>
            </c:dLbl>
            <c:dLbl>
              <c:idx val="2"/>
              <c:layout>
                <c:manualLayout>
                  <c:x val="-1.2107536113273226E-16"/>
                  <c:y val="-2.81121288783946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308-4CE9-A15B-A8FE38957C1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HRP!$F$79:$F$81</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HRP!$I$79:$I$81</c:f>
              <c:numCache>
                <c:formatCode>_(* #,##0_);_(* \(#,##0\);_(* "-"??_);_(@_)</c:formatCode>
                <c:ptCount val="3"/>
                <c:pt idx="0">
                  <c:v>-7264</c:v>
                </c:pt>
                <c:pt idx="1">
                  <c:v>20411</c:v>
                </c:pt>
                <c:pt idx="2">
                  <c:v>-3242.4933333333465</c:v>
                </c:pt>
              </c:numCache>
            </c:numRef>
          </c:val>
          <c:extLst>
            <c:ext xmlns:c16="http://schemas.microsoft.com/office/drawing/2014/chart" uri="{C3380CC4-5D6E-409C-BE32-E72D297353CC}">
              <c16:uniqueId val="{00000013-E308-4CE9-A15B-A8FE38957C12}"/>
            </c:ext>
          </c:extLst>
        </c:ser>
        <c:dLbls>
          <c:showLegendKey val="0"/>
          <c:showVal val="0"/>
          <c:showCatName val="0"/>
          <c:showSerName val="0"/>
          <c:showPercent val="0"/>
          <c:showBubbleSize val="0"/>
        </c:dLbls>
        <c:gapWidth val="150"/>
        <c:overlap val="100"/>
        <c:axId val="390217520"/>
        <c:axId val="391605888"/>
      </c:barChart>
      <c:catAx>
        <c:axId val="39021752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crossAx val="391605888"/>
        <c:crosses val="autoZero"/>
        <c:auto val="1"/>
        <c:lblAlgn val="ctr"/>
        <c:lblOffset val="100"/>
        <c:noMultiLvlLbl val="0"/>
      </c:catAx>
      <c:valAx>
        <c:axId val="391605888"/>
        <c:scaling>
          <c:orientation val="minMax"/>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021752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7928240287341965"/>
          <c:y val="0.21516191168752388"/>
          <c:w val="0.77586055206596072"/>
          <c:h val="0.43143424982722389"/>
        </c:manualLayout>
      </c:layout>
      <c:barChart>
        <c:barDir val="col"/>
        <c:grouping val="stacked"/>
        <c:varyColors val="0"/>
        <c:ser>
          <c:idx val="0"/>
          <c:order val="0"/>
          <c:tx>
            <c:strRef>
              <c:f>Analysis!$F$95</c:f>
              <c:strCache>
                <c:ptCount val="1"/>
                <c:pt idx="0">
                  <c:v> Coverage </c:v>
                </c:pt>
              </c:strCache>
            </c:strRef>
          </c:tx>
          <c:spPr>
            <a:gradFill rotWithShape="1">
              <a:gsLst>
                <a:gs pos="0">
                  <a:schemeClr val="accent2">
                    <a:shade val="76000"/>
                    <a:satMod val="103000"/>
                    <a:lumMod val="102000"/>
                    <a:tint val="94000"/>
                  </a:schemeClr>
                </a:gs>
                <a:gs pos="50000">
                  <a:schemeClr val="accent2">
                    <a:shade val="76000"/>
                    <a:satMod val="110000"/>
                    <a:lumMod val="100000"/>
                    <a:shade val="100000"/>
                  </a:schemeClr>
                </a:gs>
                <a:gs pos="100000">
                  <a:schemeClr val="accent2">
                    <a:shade val="76000"/>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Analysis!$G$94</c:f>
              <c:strCache>
                <c:ptCount val="1"/>
                <c:pt idx="0">
                  <c:v> # in active camps (20:1) </c:v>
                </c:pt>
              </c:strCache>
            </c:strRef>
          </c:cat>
          <c:val>
            <c:numRef>
              <c:f>Analysis!$G$95</c:f>
              <c:numCache>
                <c:formatCode>_(* #,##0_);_(* \(#,##0\);_(* "-"??_);_(@_)</c:formatCode>
                <c:ptCount val="1"/>
                <c:pt idx="0">
                  <c:v>4507</c:v>
                </c:pt>
              </c:numCache>
            </c:numRef>
          </c:val>
          <c:extLst>
            <c:ext xmlns:c16="http://schemas.microsoft.com/office/drawing/2014/chart" uri="{C3380CC4-5D6E-409C-BE32-E72D297353CC}">
              <c16:uniqueId val="{00000000-15F8-4510-B681-E9F538B3E9BA}"/>
            </c:ext>
          </c:extLst>
        </c:ser>
        <c:ser>
          <c:idx val="1"/>
          <c:order val="1"/>
          <c:tx>
            <c:strRef>
              <c:f>Analysis!$F$96</c:f>
              <c:strCache>
                <c:ptCount val="1"/>
                <c:pt idx="0">
                  <c:v> GAP </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Analysis!$G$94</c:f>
              <c:strCache>
                <c:ptCount val="1"/>
                <c:pt idx="0">
                  <c:v> # in active camps (20:1) </c:v>
                </c:pt>
              </c:strCache>
            </c:strRef>
          </c:cat>
          <c:val>
            <c:numRef>
              <c:f>Analysis!$G$96</c:f>
              <c:numCache>
                <c:formatCode>_(* #,##0_);_(* \(#,##0\);_(* "-"??_);_(@_)</c:formatCode>
                <c:ptCount val="1"/>
                <c:pt idx="0">
                  <c:v>1449</c:v>
                </c:pt>
              </c:numCache>
            </c:numRef>
          </c:val>
          <c:extLst>
            <c:ext xmlns:c16="http://schemas.microsoft.com/office/drawing/2014/chart" uri="{C3380CC4-5D6E-409C-BE32-E72D297353CC}">
              <c16:uniqueId val="{00000001-15F8-4510-B681-E9F538B3E9BA}"/>
            </c:ext>
          </c:extLst>
        </c:ser>
        <c:dLbls>
          <c:dLblPos val="ctr"/>
          <c:showLegendKey val="0"/>
          <c:showVal val="1"/>
          <c:showCatName val="0"/>
          <c:showSerName val="0"/>
          <c:showPercent val="0"/>
          <c:showBubbleSize val="0"/>
        </c:dLbls>
        <c:gapWidth val="150"/>
        <c:overlap val="100"/>
        <c:axId val="395455520"/>
        <c:axId val="395451208"/>
      </c:barChart>
      <c:catAx>
        <c:axId val="3954555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451208"/>
        <c:crosses val="autoZero"/>
        <c:auto val="1"/>
        <c:lblAlgn val="ctr"/>
        <c:lblOffset val="100"/>
        <c:noMultiLvlLbl val="0"/>
      </c:catAx>
      <c:valAx>
        <c:axId val="395451208"/>
        <c:scaling>
          <c:orientation val="minMax"/>
        </c:scaling>
        <c:delete val="0"/>
        <c:axPos val="l"/>
        <c:majorGridlines>
          <c:spPr>
            <a:ln w="9525" cap="flat" cmpd="sng" algn="ctr">
              <a:solidFill>
                <a:schemeClr val="tx2">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5455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Effective solid waste management system in place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8143420543460065"/>
          <c:y val="0.35328950521760566"/>
          <c:w val="0.49920625990214784"/>
          <c:h val="0.54489871203199036"/>
        </c:manualLayout>
      </c:layout>
      <c:pieChart>
        <c:varyColors val="1"/>
        <c:ser>
          <c:idx val="3"/>
          <c:order val="0"/>
          <c:tx>
            <c:strRef>
              <c:f>Analysis!$B$149</c:f>
              <c:strCache>
                <c:ptCount val="1"/>
                <c:pt idx="0">
                  <c:v>Rakhine</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01-05AC-4EF5-B3E1-346534AE4609}"/>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05AC-4EF5-B3E1-346534AE4609}"/>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1-05AC-4EF5-B3E1-346534AE4609}"/>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3-05AC-4EF5-B3E1-346534AE460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Analysis!$C$148:$D$148</c:f>
              <c:strCache>
                <c:ptCount val="2"/>
                <c:pt idx="0">
                  <c:v>Yes</c:v>
                </c:pt>
                <c:pt idx="1">
                  <c:v>No</c:v>
                </c:pt>
              </c:strCache>
            </c:strRef>
          </c:cat>
          <c:val>
            <c:numRef>
              <c:f>Analysis!$C$149:$D$149</c:f>
              <c:numCache>
                <c:formatCode>General</c:formatCode>
                <c:ptCount val="2"/>
                <c:pt idx="0">
                  <c:v>21</c:v>
                </c:pt>
                <c:pt idx="1">
                  <c:v>4</c:v>
                </c:pt>
              </c:numCache>
            </c:numRef>
          </c:val>
          <c:extLst>
            <c:ext xmlns:c16="http://schemas.microsoft.com/office/drawing/2014/chart" uri="{C3380CC4-5D6E-409C-BE32-E72D297353CC}">
              <c16:uniqueId val="{00000004-05AC-4EF5-B3E1-346534AE4609}"/>
            </c:ext>
          </c:extLst>
        </c:ser>
        <c:dLbls>
          <c:dLblPos val="bestFit"/>
          <c:showLegendKey val="0"/>
          <c:showVal val="1"/>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in TLS/CFS (50:1)</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618305313187203"/>
          <c:y val="0.29432081857844383"/>
          <c:w val="0.419629176420515"/>
          <c:h val="0.55552325240154166"/>
        </c:manualLayout>
      </c:layout>
      <c:pieChart>
        <c:varyColors val="1"/>
        <c:ser>
          <c:idx val="0"/>
          <c:order val="0"/>
          <c:dPt>
            <c:idx val="0"/>
            <c:bubble3D val="0"/>
            <c:spPr>
              <a:solidFill>
                <a:srgbClr val="7030A0"/>
              </a:solidFill>
              <a:ln>
                <a:noFill/>
              </a:ln>
              <a:effectLst/>
            </c:spPr>
            <c:extLst>
              <c:ext xmlns:c16="http://schemas.microsoft.com/office/drawing/2014/chart" uri="{C3380CC4-5D6E-409C-BE32-E72D297353CC}">
                <c16:uniqueId val="{00000001-DADE-47ED-976B-3B53C961EA1D}"/>
              </c:ext>
            </c:extLst>
          </c:dPt>
          <c:dPt>
            <c:idx val="1"/>
            <c:bubble3D val="0"/>
            <c:spPr>
              <a:solidFill>
                <a:srgbClr val="E4B6E4"/>
              </a:solidFill>
              <a:ln>
                <a:noFill/>
              </a:ln>
              <a:effectLst/>
            </c:spPr>
            <c:extLst>
              <c:ext xmlns:c16="http://schemas.microsoft.com/office/drawing/2014/chart" uri="{C3380CC4-5D6E-409C-BE32-E72D297353CC}">
                <c16:uniqueId val="{00000003-DADE-47ED-976B-3B53C961EA1D}"/>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DADE-47ED-976B-3B53C961EA1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Analysis!$D$132:$E$132</c:f>
              <c:strCache>
                <c:ptCount val="2"/>
                <c:pt idx="0">
                  <c:v>Latrines in TLS/CFS</c:v>
                </c:pt>
                <c:pt idx="1">
                  <c:v>Latrine Gap</c:v>
                </c:pt>
              </c:strCache>
            </c:strRef>
          </c:cat>
          <c:val>
            <c:numRef>
              <c:f>Analysis!$D$133:$E$133</c:f>
              <c:numCache>
                <c:formatCode>_(* #,##0_);_(* \(#,##0\);_(* "-"??_);_(@_)</c:formatCode>
                <c:ptCount val="2"/>
                <c:pt idx="0">
                  <c:v>179</c:v>
                </c:pt>
                <c:pt idx="1">
                  <c:v>284.08</c:v>
                </c:pt>
              </c:numCache>
            </c:numRef>
          </c:val>
          <c:extLst>
            <c:ext xmlns:c16="http://schemas.microsoft.com/office/drawing/2014/chart" uri="{C3380CC4-5D6E-409C-BE32-E72D297353CC}">
              <c16:uniqueId val="{00000004-DADE-47ED-976B-3B53C961EA1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316982336667381"/>
          <c:y val="0.28650480308336429"/>
          <c:w val="0.35458578657397555"/>
          <c:h val="0.452284154716021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People with</a:t>
            </a:r>
            <a:r>
              <a:rPr lang="en-US" sz="1400" baseline="0"/>
              <a:t> disabilities with adapted sanitation option</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3.9644525020203512E-2"/>
          <c:y val="0.2848198794923294"/>
          <c:w val="0.45739754024976081"/>
          <c:h val="0.61129780778599208"/>
        </c:manualLayout>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86AE-40EB-9C37-2CD133B0E425}"/>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86AE-40EB-9C37-2CD133B0E425}"/>
              </c:ext>
            </c:extLst>
          </c:dPt>
          <c:dLbls>
            <c:dLbl>
              <c:idx val="0"/>
              <c:layout>
                <c:manualLayout>
                  <c:x val="-8.5936132983377087E-3"/>
                  <c:y val="0.1056758530183727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6AE-40EB-9C37-2CD133B0E42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Analysis!$L$130:$M$130</c:f>
              <c:strCache>
                <c:ptCount val="2"/>
                <c:pt idx="0">
                  <c:v>Access to adapted sanitation option</c:v>
                </c:pt>
                <c:pt idx="1">
                  <c:v>No access to adapted sanitation option</c:v>
                </c:pt>
              </c:strCache>
            </c:strRef>
          </c:cat>
          <c:val>
            <c:numRef>
              <c:f>Analysis!$L$131:$M$131</c:f>
              <c:numCache>
                <c:formatCode>General</c:formatCode>
                <c:ptCount val="2"/>
                <c:pt idx="0">
                  <c:v>396</c:v>
                </c:pt>
                <c:pt idx="1">
                  <c:v>14184</c:v>
                </c:pt>
              </c:numCache>
            </c:numRef>
          </c:val>
          <c:extLst>
            <c:ext xmlns:c16="http://schemas.microsoft.com/office/drawing/2014/chart" uri="{C3380CC4-5D6E-409C-BE32-E72D297353CC}">
              <c16:uniqueId val="{00000004-86AE-40EB-9C37-2CD133B0E42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5676110444543255"/>
          <c:y val="0.39005074704809184"/>
          <c:w val="0.52053229927340716"/>
          <c:h val="0.24887477599074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713137670183398"/>
          <c:y val="9.9173540811669063E-3"/>
          <c:w val="0.48583155010710327"/>
          <c:h val="0.78047780562532632"/>
        </c:manualLayout>
      </c:layout>
      <c:barChart>
        <c:barDir val="bar"/>
        <c:grouping val="percentStacked"/>
        <c:varyColors val="0"/>
        <c:ser>
          <c:idx val="0"/>
          <c:order val="0"/>
          <c:tx>
            <c:strRef>
              <c:f>Analysis!$C$232</c:f>
              <c:strCache>
                <c:ptCount val="1"/>
                <c:pt idx="0">
                  <c:v>Yes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Analysis!$B$233:$B$235</c:f>
              <c:strCache>
                <c:ptCount val="3"/>
                <c:pt idx="0">
                  <c:v> % of women and girls who report that they have an adequate system for disposing of used sanitary pads</c:v>
                </c:pt>
                <c:pt idx="1">
                  <c:v> % of affected people who report handwashing at key times</c:v>
                </c:pt>
                <c:pt idx="2">
                  <c:v> % of households observed with a place to WASH hands with soap present</c:v>
                </c:pt>
              </c:strCache>
            </c:strRef>
          </c:cat>
          <c:val>
            <c:numRef>
              <c:f>Analysis!$C$233:$C$235</c:f>
              <c:numCache>
                <c:formatCode>0%</c:formatCode>
                <c:ptCount val="3"/>
                <c:pt idx="0">
                  <c:v>0.44750000000000001</c:v>
                </c:pt>
                <c:pt idx="1">
                  <c:v>0.97000000000000008</c:v>
                </c:pt>
                <c:pt idx="2">
                  <c:v>0.83750000000000002</c:v>
                </c:pt>
              </c:numCache>
            </c:numRef>
          </c:val>
          <c:extLst>
            <c:ext xmlns:c16="http://schemas.microsoft.com/office/drawing/2014/chart" uri="{C3380CC4-5D6E-409C-BE32-E72D297353CC}">
              <c16:uniqueId val="{00000000-06D8-4824-AEFF-B6328979CBF1}"/>
            </c:ext>
          </c:extLst>
        </c:ser>
        <c:ser>
          <c:idx val="1"/>
          <c:order val="1"/>
          <c:tx>
            <c:strRef>
              <c:f>Analysis!$D$232</c:f>
              <c:strCache>
                <c:ptCount val="1"/>
                <c:pt idx="0">
                  <c:v>No</c:v>
                </c:pt>
              </c:strCache>
            </c:strRef>
          </c:tx>
          <c:spPr>
            <a:solidFill>
              <a:schemeClr val="accent6">
                <a:lumMod val="40000"/>
                <a:lumOff val="60000"/>
              </a:schemeClr>
            </a:solidFill>
            <a:ln>
              <a:noFill/>
            </a:ln>
            <a:effectLst/>
          </c:spPr>
          <c:invertIfNegative val="0"/>
          <c:dLbls>
            <c:dLbl>
              <c:idx val="1"/>
              <c:layout>
                <c:manualLayout>
                  <c:x val="1.5470146272060043E-2"/>
                  <c:y val="4.288449484806734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D8-4824-AEFF-B6328979CBF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Analysis!$B$233:$B$235</c:f>
              <c:strCache>
                <c:ptCount val="3"/>
                <c:pt idx="0">
                  <c:v> % of women and girls who report that they have an adequate system for disposing of used sanitary pads</c:v>
                </c:pt>
                <c:pt idx="1">
                  <c:v> % of affected people who report handwashing at key times</c:v>
                </c:pt>
                <c:pt idx="2">
                  <c:v> % of households observed with a place to WASH hands with soap present</c:v>
                </c:pt>
              </c:strCache>
            </c:strRef>
          </c:cat>
          <c:val>
            <c:numRef>
              <c:f>Analysis!$D$233:$D$235</c:f>
              <c:numCache>
                <c:formatCode>0%</c:formatCode>
                <c:ptCount val="3"/>
                <c:pt idx="0">
                  <c:v>0.55249999999999999</c:v>
                </c:pt>
                <c:pt idx="1">
                  <c:v>2.9999999999999916E-2</c:v>
                </c:pt>
                <c:pt idx="2">
                  <c:v>0.16249999999999998</c:v>
                </c:pt>
              </c:numCache>
            </c:numRef>
          </c:val>
          <c:extLst>
            <c:ext xmlns:c16="http://schemas.microsoft.com/office/drawing/2014/chart" uri="{C3380CC4-5D6E-409C-BE32-E72D297353CC}">
              <c16:uniqueId val="{00000002-06D8-4824-AEFF-B6328979CBF1}"/>
            </c:ext>
          </c:extLst>
        </c:ser>
        <c:dLbls>
          <c:showLegendKey val="0"/>
          <c:showVal val="0"/>
          <c:showCatName val="0"/>
          <c:showSerName val="0"/>
          <c:showPercent val="0"/>
          <c:showBubbleSize val="0"/>
        </c:dLbls>
        <c:gapWidth val="150"/>
        <c:overlap val="100"/>
        <c:axId val="766520672"/>
        <c:axId val="828045152"/>
      </c:barChart>
      <c:catAx>
        <c:axId val="76652067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828045152"/>
        <c:crosses val="autoZero"/>
        <c:auto val="1"/>
        <c:lblAlgn val="ctr"/>
        <c:lblOffset val="100"/>
        <c:noMultiLvlLbl val="0"/>
      </c:catAx>
      <c:valAx>
        <c:axId val="82804515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766520672"/>
        <c:crosses val="autoZero"/>
        <c:crossBetween val="between"/>
      </c:valAx>
      <c:spPr>
        <a:noFill/>
        <a:ln>
          <a:noFill/>
        </a:ln>
        <a:effectLst/>
      </c:spPr>
    </c:plotArea>
    <c:legend>
      <c:legendPos val="b"/>
      <c:layout>
        <c:manualLayout>
          <c:xMode val="edge"/>
          <c:yMode val="edge"/>
          <c:x val="0.26016811865702505"/>
          <c:y val="0.8629127442539386"/>
          <c:w val="9.5210789953681818E-2"/>
          <c:h val="0.1060527814138524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Sites with TLS/CFS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0256167979002624"/>
          <c:y val="0.19226669582968794"/>
          <c:w val="0.41987685914260719"/>
          <c:h val="0.69979476523767858"/>
        </c:manualLayout>
      </c:layout>
      <c:pieChart>
        <c:varyColors val="1"/>
        <c:ser>
          <c:idx val="0"/>
          <c:order val="0"/>
          <c:tx>
            <c:strRef>
              <c:f>Analysis!$C$348</c:f>
              <c:strCache>
                <c:ptCount val="1"/>
                <c:pt idx="0">
                  <c:v>Central Rakhine</c:v>
                </c:pt>
              </c:strCache>
            </c:strRef>
          </c:tx>
          <c:dPt>
            <c:idx val="0"/>
            <c:bubble3D val="0"/>
            <c:spPr>
              <a:solidFill>
                <a:srgbClr val="7030A0"/>
              </a:solidFill>
              <a:ln>
                <a:noFill/>
              </a:ln>
              <a:effectLst/>
            </c:spPr>
            <c:extLst xmlns:c15="http://schemas.microsoft.com/office/drawing/2012/chart">
              <c:ext xmlns:c16="http://schemas.microsoft.com/office/drawing/2014/chart" uri="{C3380CC4-5D6E-409C-BE32-E72D297353CC}">
                <c16:uniqueId val="{00000001-0357-48A1-B938-CCFD56EA7F77}"/>
              </c:ext>
            </c:extLst>
          </c:dPt>
          <c:dPt>
            <c:idx val="1"/>
            <c:bubble3D val="0"/>
            <c:spPr>
              <a:solidFill>
                <a:srgbClr val="D692D6"/>
              </a:solidFill>
              <a:ln>
                <a:noFill/>
              </a:ln>
              <a:effectLst/>
            </c:spPr>
            <c:extLst xmlns:c15="http://schemas.microsoft.com/office/drawing/2012/chart">
              <c:ext xmlns:c16="http://schemas.microsoft.com/office/drawing/2014/chart" uri="{C3380CC4-5D6E-409C-BE32-E72D297353CC}">
                <c16:uniqueId val="{00000003-0357-48A1-B938-CCFD56EA7F77}"/>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Analysis!$D$347:$E$347</c:f>
              <c:strCache>
                <c:ptCount val="2"/>
                <c:pt idx="0">
                  <c:v>Yes</c:v>
                </c:pt>
                <c:pt idx="1">
                  <c:v>No</c:v>
                </c:pt>
              </c:strCache>
            </c:strRef>
          </c:cat>
          <c:val>
            <c:numRef>
              <c:f>Analysis!$D$348:$E$348</c:f>
              <c:numCache>
                <c:formatCode>0%</c:formatCode>
                <c:ptCount val="2"/>
                <c:pt idx="0">
                  <c:v>0.92</c:v>
                </c:pt>
                <c:pt idx="1">
                  <c:v>0.08</c:v>
                </c:pt>
              </c:numCache>
            </c:numRef>
          </c:val>
          <c:extLst xmlns:c15="http://schemas.microsoft.com/office/drawing/2012/chart">
            <c:ext xmlns:c16="http://schemas.microsoft.com/office/drawing/2014/chart" uri="{C3380CC4-5D6E-409C-BE32-E72D297353CC}">
              <c16:uniqueId val="{00000004-0357-48A1-B938-CCFD56EA7F77}"/>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 of TLS/CFS with a designated place for children to wash hands where soap is available</a:t>
            </a:r>
          </a:p>
        </c:rich>
      </c:tx>
      <c:layout>
        <c:manualLayout>
          <c:xMode val="edge"/>
          <c:yMode val="edge"/>
          <c:x val="0.16163194444444443"/>
          <c:y val="2.670940170940170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2374618713201391"/>
          <c:y val="0.32324604863690815"/>
          <c:w val="0.40551843026200673"/>
          <c:h val="0.55034665602215971"/>
        </c:manualLayout>
      </c:layout>
      <c:pieChart>
        <c:varyColors val="1"/>
        <c:ser>
          <c:idx val="0"/>
          <c:order val="0"/>
          <c:tx>
            <c:strRef>
              <c:f>Analysis!$C$362</c:f>
              <c:strCache>
                <c:ptCount val="1"/>
                <c:pt idx="0">
                  <c:v>Average of % of TLS/CFS with a designated place for children to wash hands where soap is available</c:v>
                </c:pt>
              </c:strCache>
            </c:strRef>
          </c:tx>
          <c:dPt>
            <c:idx val="0"/>
            <c:bubble3D val="0"/>
            <c:spPr>
              <a:solidFill>
                <a:srgbClr val="7030A0"/>
              </a:solidFill>
              <a:ln>
                <a:noFill/>
              </a:ln>
              <a:effectLst/>
            </c:spPr>
            <c:extLst>
              <c:ext xmlns:c16="http://schemas.microsoft.com/office/drawing/2014/chart" uri="{C3380CC4-5D6E-409C-BE32-E72D297353CC}">
                <c16:uniqueId val="{00000001-1C02-478A-9DAD-C21528EE50DD}"/>
              </c:ext>
            </c:extLst>
          </c:dPt>
          <c:dPt>
            <c:idx val="1"/>
            <c:bubble3D val="0"/>
            <c:spPr>
              <a:solidFill>
                <a:srgbClr val="D692D6"/>
              </a:solidFill>
              <a:ln>
                <a:noFill/>
              </a:ln>
              <a:effectLst/>
            </c:spPr>
            <c:extLst>
              <c:ext xmlns:c16="http://schemas.microsoft.com/office/drawing/2014/chart" uri="{C3380CC4-5D6E-409C-BE32-E72D297353CC}">
                <c16:uniqueId val="{00000003-1C02-478A-9DAD-C21528EE50DD}"/>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1C02-478A-9DAD-C21528EE50D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Analysis!$D$361:$E$361</c:f>
              <c:strCache>
                <c:ptCount val="2"/>
                <c:pt idx="0">
                  <c:v>Yes</c:v>
                </c:pt>
                <c:pt idx="1">
                  <c:v>No</c:v>
                </c:pt>
              </c:strCache>
            </c:strRef>
          </c:cat>
          <c:val>
            <c:numRef>
              <c:f>Analysis!$D$362:$E$362</c:f>
              <c:numCache>
                <c:formatCode>0%</c:formatCode>
                <c:ptCount val="2"/>
                <c:pt idx="0">
                  <c:v>0.72235294117647042</c:v>
                </c:pt>
                <c:pt idx="1">
                  <c:v>0.27764705882352958</c:v>
                </c:pt>
              </c:numCache>
            </c:numRef>
          </c:val>
          <c:extLst>
            <c:ext xmlns:c16="http://schemas.microsoft.com/office/drawing/2014/chart" uri="{C3380CC4-5D6E-409C-BE32-E72D297353CC}">
              <c16:uniqueId val="{00000004-1C02-478A-9DAD-C21528EE50D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Funding Received/Gap as of 2019-Q2(US$)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bar"/>
        <c:grouping val="percentStacked"/>
        <c:varyColors val="0"/>
        <c:ser>
          <c:idx val="0"/>
          <c:order val="0"/>
          <c:tx>
            <c:strRef>
              <c:f>[4]National!$D$3</c:f>
              <c:strCache>
                <c:ptCount val="1"/>
                <c:pt idx="0">
                  <c:v>Cumulative Funding Received for 2019</c:v>
                </c:pt>
              </c:strCache>
            </c:strRef>
          </c:tx>
          <c:spPr>
            <a:solidFill>
              <a:schemeClr val="bg1">
                <a:lumMod val="50000"/>
              </a:schemeClr>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[4]National!$B$4:$B$6</c15:sqref>
                  </c15:fullRef>
                </c:ext>
              </c:extLst>
              <c:f>[4]National!$B$5</c:f>
              <c:strCache>
                <c:ptCount val="1"/>
                <c:pt idx="0">
                  <c:v>Rakhine</c:v>
                </c:pt>
              </c:strCache>
            </c:strRef>
          </c:cat>
          <c:val>
            <c:numRef>
              <c:extLst>
                <c:ext xmlns:c15="http://schemas.microsoft.com/office/drawing/2012/chart" uri="{02D57815-91ED-43cb-92C2-25804820EDAC}">
                  <c15:fullRef>
                    <c15:sqref>[4]National!$D$4:$D$6</c15:sqref>
                  </c15:fullRef>
                </c:ext>
              </c:extLst>
              <c:f>[4]National!$D$5</c:f>
              <c:numCache>
                <c:formatCode>General</c:formatCode>
                <c:ptCount val="1"/>
                <c:pt idx="0">
                  <c:v>9716875.0312438626</c:v>
                </c:pt>
              </c:numCache>
            </c:numRef>
          </c:val>
          <c:extLst xmlns:c15="http://schemas.microsoft.com/office/drawing/2012/chart">
            <c:ext xmlns:c16="http://schemas.microsoft.com/office/drawing/2014/chart" uri="{C3380CC4-5D6E-409C-BE32-E72D297353CC}">
              <c16:uniqueId val="{00000000-A04A-4549-8696-498BD1C0AA48}"/>
            </c:ext>
          </c:extLst>
        </c:ser>
        <c:ser>
          <c:idx val="1"/>
          <c:order val="1"/>
          <c:tx>
            <c:strRef>
              <c:f>[4]National!$E$3</c:f>
              <c:strCache>
                <c:ptCount val="1"/>
                <c:pt idx="0">
                  <c:v>Gap</c:v>
                </c:pt>
              </c:strCache>
            </c:strRef>
          </c:tx>
          <c:spPr>
            <a:solidFill>
              <a:schemeClr val="bg1">
                <a:lumMod val="85000"/>
              </a:schemeClr>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[4]National!$B$4:$B$6</c15:sqref>
                  </c15:fullRef>
                </c:ext>
              </c:extLst>
              <c:f>[4]National!$B$5</c:f>
              <c:strCache>
                <c:ptCount val="1"/>
                <c:pt idx="0">
                  <c:v>Rakhine</c:v>
                </c:pt>
              </c:strCache>
            </c:strRef>
          </c:cat>
          <c:val>
            <c:numRef>
              <c:extLst>
                <c:ext xmlns:c15="http://schemas.microsoft.com/office/drawing/2012/chart" uri="{02D57815-91ED-43cb-92C2-25804820EDAC}">
                  <c15:fullRef>
                    <c15:sqref>[4]National!$E$4:$E$6</c15:sqref>
                  </c15:fullRef>
                </c:ext>
              </c:extLst>
              <c:f>[4]National!$E$5</c:f>
              <c:numCache>
                <c:formatCode>General</c:formatCode>
                <c:ptCount val="1"/>
                <c:pt idx="0">
                  <c:v>9983124.9687561374</c:v>
                </c:pt>
              </c:numCache>
            </c:numRef>
          </c:val>
          <c:extLst>
            <c:ext xmlns:c16="http://schemas.microsoft.com/office/drawing/2014/chart" uri="{C3380CC4-5D6E-409C-BE32-E72D297353CC}">
              <c16:uniqueId val="{00000001-A04A-4549-8696-498BD1C0AA48}"/>
            </c:ext>
          </c:extLst>
        </c:ser>
        <c:dLbls>
          <c:dLblPos val="ctr"/>
          <c:showLegendKey val="0"/>
          <c:showVal val="1"/>
          <c:showCatName val="0"/>
          <c:showSerName val="0"/>
          <c:showPercent val="0"/>
          <c:showBubbleSize val="0"/>
        </c:dLbls>
        <c:gapWidth val="150"/>
        <c:overlap val="100"/>
        <c:axId val="364368616"/>
        <c:axId val="364375672"/>
        <c:extLst/>
      </c:barChart>
      <c:catAx>
        <c:axId val="36436861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75672"/>
        <c:crosses val="autoZero"/>
        <c:auto val="1"/>
        <c:lblAlgn val="ctr"/>
        <c:lblOffset val="100"/>
        <c:noMultiLvlLbl val="0"/>
      </c:catAx>
      <c:valAx>
        <c:axId val="36437567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68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Rakhine Funding Splits INGO, LNGO</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bg1">
              <a:lumMod val="50000"/>
            </a:schemeClr>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bg1">
              <a:lumMod val="65000"/>
            </a:schemeClr>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solidFill>
            <a:schemeClr val="bg1">
              <a:lumMod val="65000"/>
            </a:schemeClr>
          </a:solidFill>
          <a:ln>
            <a:noFill/>
          </a:ln>
          <a:effectLst/>
        </c:spPr>
        <c:dLbl>
          <c:idx val="0"/>
          <c:layout>
            <c:manualLayout>
              <c:x val="-2.2636003615344239E-2"/>
              <c:y val="-1.957559493624059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6"/>
        <c:spPr>
          <a:solidFill>
            <a:schemeClr val="bg1">
              <a:lumMod val="50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8"/>
        <c:spPr>
          <a:solidFill>
            <a:schemeClr val="bg1">
              <a:lumMod val="6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4"/>
          </a:solidFill>
          <a:ln>
            <a:noFill/>
          </a:ln>
          <a:effectLst/>
        </c:spPr>
        <c:marker>
          <c:symbol val="none"/>
        </c:marker>
      </c:pivotFmt>
      <c:pivotFmt>
        <c:idx val="10"/>
        <c:spPr>
          <a:solidFill>
            <a:schemeClr val="bg1">
              <a:lumMod val="8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bg1">
              <a:lumMod val="65000"/>
            </a:schemeClr>
          </a:solidFill>
          <a:ln>
            <a:noFill/>
          </a:ln>
          <a:effectLst/>
        </c:spPr>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bg1">
              <a:lumMod val="85000"/>
            </a:schemeClr>
          </a:solidFill>
          <a:ln>
            <a:noFill/>
          </a:ln>
          <a:effectLst/>
        </c:spPr>
        <c:dLbl>
          <c:idx val="0"/>
          <c:layout>
            <c:manualLayout>
              <c:x val="3.4444445448948542E-2"/>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bg1">
              <a:lumMod val="50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6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65000"/>
            </a:schemeClr>
          </a:solidFill>
          <a:ln>
            <a:noFill/>
          </a:ln>
          <a:effectLst/>
        </c:spPr>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bg1">
              <a:lumMod val="8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bg1">
              <a:lumMod val="85000"/>
            </a:schemeClr>
          </a:solidFill>
          <a:ln>
            <a:noFill/>
          </a:ln>
          <a:effectLst/>
        </c:spPr>
        <c:dLbl>
          <c:idx val="0"/>
          <c:layout>
            <c:manualLayout>
              <c:x val="3.4444445448948542E-2"/>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v>INGO</c:v>
          </c:tx>
          <c:spPr>
            <a:solidFill>
              <a:schemeClr val="bg1">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0.88586365653869026</c:v>
              </c:pt>
            </c:numLit>
          </c:val>
          <c:extLst>
            <c:ext xmlns:c16="http://schemas.microsoft.com/office/drawing/2014/chart" uri="{C3380CC4-5D6E-409C-BE32-E72D297353CC}">
              <c16:uniqueId val="{00000000-74ED-41A5-9BCF-B9191C42BE53}"/>
            </c:ext>
          </c:extLst>
        </c:ser>
        <c:ser>
          <c:idx val="1"/>
          <c:order val="1"/>
          <c:tx>
            <c:v>LNGO</c:v>
          </c:tx>
          <c:spPr>
            <a:solidFill>
              <a:schemeClr val="bg1">
                <a:lumMod val="65000"/>
              </a:schemeClr>
            </a:solidFill>
            <a:ln>
              <a:noFill/>
            </a:ln>
            <a:effectLst/>
          </c:spPr>
          <c:invertIfNegative val="0"/>
          <c:dPt>
            <c:idx val="0"/>
            <c:invertIfNegative val="0"/>
            <c:bubble3D val="0"/>
            <c:spPr>
              <a:solidFill>
                <a:schemeClr val="bg1">
                  <a:lumMod val="65000"/>
                </a:schemeClr>
              </a:solidFill>
              <a:ln>
                <a:noFill/>
              </a:ln>
              <a:effectLst/>
            </c:spPr>
            <c:extLst>
              <c:ext xmlns:c16="http://schemas.microsoft.com/office/drawing/2014/chart" uri="{C3380CC4-5D6E-409C-BE32-E72D297353CC}">
                <c16:uniqueId val="{00000002-74ED-41A5-9BCF-B9191C42BE53}"/>
              </c:ext>
            </c:extLst>
          </c:dPt>
          <c:dLbls>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ED-41A5-9BCF-B9191C42BE5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6.3667353789238434E-2</c:v>
              </c:pt>
            </c:numLit>
          </c:val>
          <c:extLst>
            <c:ext xmlns:c16="http://schemas.microsoft.com/office/drawing/2014/chart" uri="{C3380CC4-5D6E-409C-BE32-E72D297353CC}">
              <c16:uniqueId val="{00000003-74ED-41A5-9BCF-B9191C42BE53}"/>
            </c:ext>
          </c:extLst>
        </c:ser>
        <c:ser>
          <c:idx val="2"/>
          <c:order val="2"/>
          <c:tx>
            <c:v>INGO/LNGO</c:v>
          </c:tx>
          <c:spPr>
            <a:solidFill>
              <a:schemeClr val="bg1">
                <a:lumMod val="85000"/>
              </a:schemeClr>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5-74ED-41A5-9BCF-B9191C42BE53}"/>
              </c:ext>
            </c:extLst>
          </c:dPt>
          <c:dLbls>
            <c:dLbl>
              <c:idx val="0"/>
              <c:layout>
                <c:manualLayout>
                  <c:x val="3.4444445448948542E-2"/>
                  <c:y val="-6.016267719009824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ED-41A5-9BCF-B9191C42BE5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5.0468989672071252E-2</c:v>
              </c:pt>
            </c:numLit>
          </c:val>
          <c:extLst>
            <c:ext xmlns:c16="http://schemas.microsoft.com/office/drawing/2014/chart" uri="{C3380CC4-5D6E-409C-BE32-E72D297353CC}">
              <c16:uniqueId val="{00000006-74ED-41A5-9BCF-B9191C42BE53}"/>
            </c:ext>
          </c:extLst>
        </c:ser>
        <c:dLbls>
          <c:showLegendKey val="0"/>
          <c:showVal val="0"/>
          <c:showCatName val="0"/>
          <c:showSerName val="0"/>
          <c:showPercent val="0"/>
          <c:showBubbleSize val="0"/>
        </c:dLbls>
        <c:gapWidth val="150"/>
        <c:overlap val="100"/>
        <c:axId val="364369400"/>
        <c:axId val="364369792"/>
      </c:barChart>
      <c:catAx>
        <c:axId val="364369400"/>
        <c:scaling>
          <c:orientation val="minMax"/>
        </c:scaling>
        <c:delete val="1"/>
        <c:axPos val="l"/>
        <c:numFmt formatCode="General" sourceLinked="1"/>
        <c:majorTickMark val="none"/>
        <c:minorTickMark val="none"/>
        <c:tickLblPos val="nextTo"/>
        <c:crossAx val="364369792"/>
        <c:crosses val="autoZero"/>
        <c:auto val="1"/>
        <c:lblAlgn val="ctr"/>
        <c:lblOffset val="100"/>
        <c:noMultiLvlLbl val="0"/>
      </c:catAx>
      <c:valAx>
        <c:axId val="364369792"/>
        <c:scaling>
          <c:orientation val="minMax"/>
          <c:min val="0"/>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6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AAP - Partner reported</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47016283710378648"/>
          <c:y val="0.22166358402584208"/>
          <c:w val="0.49090190668175759"/>
          <c:h val="0.56131688296664695"/>
        </c:manualLayout>
      </c:layout>
      <c:barChart>
        <c:barDir val="bar"/>
        <c:grouping val="percentStacked"/>
        <c:varyColors val="0"/>
        <c:ser>
          <c:idx val="0"/>
          <c:order val="0"/>
          <c:tx>
            <c:strRef>
              <c:f>Analysis!$D$380</c:f>
              <c:strCache>
                <c:ptCount val="1"/>
                <c:pt idx="0">
                  <c:v>Yes</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Analysis!$C$381:$C$383</c:f>
              <c:strCache>
                <c:ptCount val="3"/>
                <c:pt idx="0">
                  <c:v>% of affected people surveyed who report feeling satistfied with the latrine design and sanitation service</c:v>
                </c:pt>
                <c:pt idx="1">
                  <c:v>% of affected people surveyed who report feeling satistfied with the water point design and water service</c:v>
                </c:pt>
                <c:pt idx="2">
                  <c:v>% of complaints received that result in timely corrective action and feedback to the community</c:v>
                </c:pt>
              </c:strCache>
            </c:strRef>
          </c:cat>
          <c:val>
            <c:numRef>
              <c:f>Analysis!$D$381:$D$383</c:f>
              <c:numCache>
                <c:formatCode>0%</c:formatCode>
                <c:ptCount val="3"/>
                <c:pt idx="0">
                  <c:v>0.85166666666666668</c:v>
                </c:pt>
                <c:pt idx="1">
                  <c:v>0.8833333333333333</c:v>
                </c:pt>
                <c:pt idx="2">
                  <c:v>0.68625000000000003</c:v>
                </c:pt>
              </c:numCache>
            </c:numRef>
          </c:val>
          <c:extLst>
            <c:ext xmlns:c16="http://schemas.microsoft.com/office/drawing/2014/chart" uri="{C3380CC4-5D6E-409C-BE32-E72D297353CC}">
              <c16:uniqueId val="{00000000-A093-4252-A27B-DB5B8C623703}"/>
            </c:ext>
          </c:extLst>
        </c:ser>
        <c:ser>
          <c:idx val="1"/>
          <c:order val="1"/>
          <c:tx>
            <c:strRef>
              <c:f>Analysis!$E$380</c:f>
              <c:strCache>
                <c:ptCount val="1"/>
                <c:pt idx="0">
                  <c:v>No</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Analysis!$C$381:$C$383</c:f>
              <c:strCache>
                <c:ptCount val="3"/>
                <c:pt idx="0">
                  <c:v>% of affected people surveyed who report feeling satistfied with the latrine design and sanitation service</c:v>
                </c:pt>
                <c:pt idx="1">
                  <c:v>% of affected people surveyed who report feeling satistfied with the water point design and water service</c:v>
                </c:pt>
                <c:pt idx="2">
                  <c:v>% of complaints received that result in timely corrective action and feedback to the community</c:v>
                </c:pt>
              </c:strCache>
            </c:strRef>
          </c:cat>
          <c:val>
            <c:numRef>
              <c:f>Analysis!$E$381:$E$383</c:f>
              <c:numCache>
                <c:formatCode>0%</c:formatCode>
                <c:ptCount val="3"/>
                <c:pt idx="0">
                  <c:v>0.14833333333333332</c:v>
                </c:pt>
                <c:pt idx="1">
                  <c:v>0.1166666666666667</c:v>
                </c:pt>
                <c:pt idx="2">
                  <c:v>0.31374999999999997</c:v>
                </c:pt>
              </c:numCache>
            </c:numRef>
          </c:val>
          <c:extLst>
            <c:ext xmlns:c16="http://schemas.microsoft.com/office/drawing/2014/chart" uri="{C3380CC4-5D6E-409C-BE32-E72D297353CC}">
              <c16:uniqueId val="{00000001-A093-4252-A27B-DB5B8C623703}"/>
            </c:ext>
          </c:extLst>
        </c:ser>
        <c:dLbls>
          <c:showLegendKey val="0"/>
          <c:showVal val="0"/>
          <c:showCatName val="0"/>
          <c:showSerName val="0"/>
          <c:showPercent val="0"/>
          <c:showBubbleSize val="0"/>
        </c:dLbls>
        <c:gapWidth val="150"/>
        <c:overlap val="100"/>
        <c:axId val="782142527"/>
        <c:axId val="777875167"/>
      </c:barChart>
      <c:catAx>
        <c:axId val="782142527"/>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777875167"/>
        <c:crosses val="autoZero"/>
        <c:auto val="1"/>
        <c:lblAlgn val="ctr"/>
        <c:lblOffset val="100"/>
        <c:noMultiLvlLbl val="0"/>
      </c:catAx>
      <c:valAx>
        <c:axId val="777875167"/>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782142527"/>
        <c:crosses val="autoZero"/>
        <c:crossBetween val="between"/>
      </c:valAx>
      <c:spPr>
        <a:noFill/>
        <a:ln>
          <a:noFill/>
        </a:ln>
        <a:effectLst/>
      </c:spPr>
    </c:plotArea>
    <c:legend>
      <c:legendPos val="b"/>
      <c:layout>
        <c:manualLayout>
          <c:xMode val="edge"/>
          <c:yMode val="edge"/>
          <c:x val="0.6512923628195747"/>
          <c:y val="0.88502684303875823"/>
          <c:w val="0.12638300015927595"/>
          <c:h val="0.1149731569612417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HRP!$J$16</c:f>
              <c:strCache>
                <c:ptCount val="1"/>
                <c:pt idx="0">
                  <c:v>% Reached</c:v>
                </c:pt>
              </c:strCache>
            </c:strRef>
          </c:tx>
          <c:spPr>
            <a:solidFill>
              <a:schemeClr val="tx1">
                <a:lumMod val="65000"/>
                <a:lumOff val="35000"/>
              </a:schemeClr>
            </a:solidFill>
            <a:ln>
              <a:noFill/>
            </a:ln>
            <a:effectLst/>
          </c:spPr>
          <c:invertIfNegative val="0"/>
          <c:cat>
            <c:multiLvlStrRef>
              <c:f>HRP!$C$17:$D$23</c:f>
              <c:multiLvlStrCache>
                <c:ptCount val="7"/>
                <c:lvl>
                  <c:pt idx="0">
                    <c:v> Central Rakhine </c:v>
                  </c:pt>
                  <c:pt idx="1">
                    <c:v> Northern Rakhine </c:v>
                  </c:pt>
                  <c:pt idx="2">
                    <c:v> Total </c:v>
                  </c:pt>
                  <c:pt idx="3">
                    <c:v> Central Rakhine </c:v>
                  </c:pt>
                  <c:pt idx="4">
                    <c:v> Northern Rakhine </c:v>
                  </c:pt>
                  <c:pt idx="5">
                    <c:v> Total </c:v>
                  </c:pt>
                  <c:pt idx="6">
                    <c:v> Central Rakhine </c:v>
                  </c:pt>
                </c:lvl>
                <c:lvl>
                  <c:pt idx="0">
                    <c:v>Percentage of women, men, boys and girls benefitting from safe/improved drinking water, meeting demand for domestic purposes, at minimum/agreed standards</c:v>
                  </c:pt>
                  <c:pt idx="3">
                    <c:v>Percentage of targeted women, men, boys and girls benefitting from a functional excreta disposal system, reducing safety/public health/environmental risks</c:v>
                  </c:pt>
                  <c:pt idx="6">
                    <c:v>Percentage of targeted women, men, boys and girls benefitting from timely/adequate/tailored personal hygiene items and receiving appropriate/ community tailored messages that enable health seeking behavior</c:v>
                  </c:pt>
                </c:lvl>
              </c:multiLvlStrCache>
            </c:multiLvlStrRef>
          </c:cat>
          <c:val>
            <c:numRef>
              <c:f>HRP!$J$17:$J$23</c:f>
              <c:numCache>
                <c:formatCode>0%</c:formatCode>
                <c:ptCount val="7"/>
                <c:pt idx="0">
                  <c:v>0.57691806302199589</c:v>
                </c:pt>
                <c:pt idx="1">
                  <c:v>0.11548800661703887</c:v>
                </c:pt>
                <c:pt idx="2">
                  <c:v>0.4323830702909659</c:v>
                </c:pt>
                <c:pt idx="3">
                  <c:v>0.44439859788110281</c:v>
                </c:pt>
                <c:pt idx="4">
                  <c:v>0.11548800661703887</c:v>
                </c:pt>
                <c:pt idx="5">
                  <c:v>0.34137303797741653</c:v>
                </c:pt>
                <c:pt idx="6">
                  <c:v>0.48723631676569523</c:v>
                </c:pt>
              </c:numCache>
            </c:numRef>
          </c:val>
          <c:extLst>
            <c:ext xmlns:c16="http://schemas.microsoft.com/office/drawing/2014/chart" uri="{C3380CC4-5D6E-409C-BE32-E72D297353CC}">
              <c16:uniqueId val="{00000000-78ED-4C56-BA32-1282FB4F42D0}"/>
            </c:ext>
          </c:extLst>
        </c:ser>
        <c:ser>
          <c:idx val="1"/>
          <c:order val="1"/>
          <c:tx>
            <c:strRef>
              <c:f>HRP!$K$16</c:f>
              <c:strCache>
                <c:ptCount val="1"/>
                <c:pt idx="0">
                  <c:v>% Gap</c:v>
                </c:pt>
              </c:strCache>
            </c:strRef>
          </c:tx>
          <c:spPr>
            <a:solidFill>
              <a:schemeClr val="bg1">
                <a:lumMod val="75000"/>
              </a:schemeClr>
            </a:solidFill>
            <a:ln>
              <a:noFill/>
            </a:ln>
            <a:effectLst/>
          </c:spPr>
          <c:invertIfNegative val="0"/>
          <c:cat>
            <c:multiLvlStrRef>
              <c:f>HRP!$C$17:$D$23</c:f>
              <c:multiLvlStrCache>
                <c:ptCount val="7"/>
                <c:lvl>
                  <c:pt idx="0">
                    <c:v> Central Rakhine </c:v>
                  </c:pt>
                  <c:pt idx="1">
                    <c:v> Northern Rakhine </c:v>
                  </c:pt>
                  <c:pt idx="2">
                    <c:v> Total </c:v>
                  </c:pt>
                  <c:pt idx="3">
                    <c:v> Central Rakhine </c:v>
                  </c:pt>
                  <c:pt idx="4">
                    <c:v> Northern Rakhine </c:v>
                  </c:pt>
                  <c:pt idx="5">
                    <c:v> Total </c:v>
                  </c:pt>
                  <c:pt idx="6">
                    <c:v> Central Rakhine </c:v>
                  </c:pt>
                </c:lvl>
                <c:lvl>
                  <c:pt idx="0">
                    <c:v>Percentage of women, men, boys and girls benefitting from safe/improved drinking water, meeting demand for domestic purposes, at minimum/agreed standards</c:v>
                  </c:pt>
                  <c:pt idx="3">
                    <c:v>Percentage of targeted women, men, boys and girls benefitting from a functional excreta disposal system, reducing safety/public health/environmental risks</c:v>
                  </c:pt>
                  <c:pt idx="6">
                    <c:v>Percentage of targeted women, men, boys and girls benefitting from timely/adequate/tailored personal hygiene items and receiving appropriate/ community tailored messages that enable health seeking behavior</c:v>
                  </c:pt>
                </c:lvl>
              </c:multiLvlStrCache>
            </c:multiLvlStrRef>
          </c:cat>
          <c:val>
            <c:numRef>
              <c:f>HRP!$K$17:$K$23</c:f>
              <c:numCache>
                <c:formatCode>0%</c:formatCode>
                <c:ptCount val="7"/>
                <c:pt idx="0">
                  <c:v>0.42308193697800411</c:v>
                </c:pt>
                <c:pt idx="1">
                  <c:v>0.88451199338296116</c:v>
                </c:pt>
                <c:pt idx="2">
                  <c:v>0.5676169297090341</c:v>
                </c:pt>
                <c:pt idx="3">
                  <c:v>0.55560140211889719</c:v>
                </c:pt>
                <c:pt idx="4">
                  <c:v>0.88451199338296116</c:v>
                </c:pt>
                <c:pt idx="5">
                  <c:v>0.65862696202258353</c:v>
                </c:pt>
                <c:pt idx="6">
                  <c:v>0.51276368323430477</c:v>
                </c:pt>
              </c:numCache>
            </c:numRef>
          </c:val>
          <c:extLst>
            <c:ext xmlns:c16="http://schemas.microsoft.com/office/drawing/2014/chart" uri="{C3380CC4-5D6E-409C-BE32-E72D297353CC}">
              <c16:uniqueId val="{00000001-78ED-4C56-BA32-1282FB4F42D0}"/>
            </c:ext>
          </c:extLst>
        </c:ser>
        <c:dLbls>
          <c:showLegendKey val="0"/>
          <c:showVal val="0"/>
          <c:showCatName val="0"/>
          <c:showSerName val="0"/>
          <c:showPercent val="0"/>
          <c:showBubbleSize val="0"/>
        </c:dLbls>
        <c:gapWidth val="150"/>
        <c:overlap val="100"/>
        <c:axId val="391608632"/>
        <c:axId val="391605104"/>
      </c:barChart>
      <c:catAx>
        <c:axId val="39160863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1605104"/>
        <c:crosses val="autoZero"/>
        <c:auto val="1"/>
        <c:lblAlgn val="ctr"/>
        <c:lblOffset val="100"/>
        <c:noMultiLvlLbl val="0"/>
      </c:catAx>
      <c:valAx>
        <c:axId val="391605104"/>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1608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people reached with Hygiene Promotion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4">
                  <a:lumMod val="40000"/>
                  <a:lumOff val="60000"/>
                </a:schemeClr>
              </a:solidFill>
              <a:ln>
                <a:noFill/>
              </a:ln>
              <a:effectLst/>
            </c:spPr>
            <c:extLst>
              <c:ext xmlns:c16="http://schemas.microsoft.com/office/drawing/2014/chart" uri="{C3380CC4-5D6E-409C-BE32-E72D297353CC}">
                <c16:uniqueId val="{00000001-01E8-4AFC-987A-1B69722162E7}"/>
              </c:ext>
            </c:extLst>
          </c:dPt>
          <c:dPt>
            <c:idx val="1"/>
            <c:bubble3D val="0"/>
            <c:spPr>
              <a:solidFill>
                <a:schemeClr val="accent6">
                  <a:lumMod val="50000"/>
                </a:schemeClr>
              </a:solidFill>
              <a:ln>
                <a:noFill/>
              </a:ln>
              <a:effectLst/>
            </c:spPr>
            <c:extLst>
              <c:ext xmlns:c16="http://schemas.microsoft.com/office/drawing/2014/chart" uri="{C3380CC4-5D6E-409C-BE32-E72D297353CC}">
                <c16:uniqueId val="{00000003-01E8-4AFC-987A-1B69722162E7}"/>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01E8-4AFC-987A-1B69722162E7}"/>
              </c:ext>
            </c:extLst>
          </c:dPt>
          <c:dPt>
            <c:idx val="3"/>
            <c:bubble3D val="0"/>
            <c:spPr>
              <a:solidFill>
                <a:schemeClr val="accent6">
                  <a:lumMod val="60000"/>
                  <a:lumOff val="40000"/>
                </a:schemeClr>
              </a:solidFill>
              <a:ln>
                <a:noFill/>
              </a:ln>
              <a:effectLst/>
            </c:spPr>
            <c:extLst>
              <c:ext xmlns:c16="http://schemas.microsoft.com/office/drawing/2014/chart" uri="{C3380CC4-5D6E-409C-BE32-E72D297353CC}">
                <c16:uniqueId val="{00000007-01E8-4AFC-987A-1B69722162E7}"/>
              </c:ext>
            </c:extLst>
          </c:dPt>
          <c:dPt>
            <c:idx val="4"/>
            <c:bubble3D val="0"/>
            <c:spPr>
              <a:solidFill>
                <a:schemeClr val="accent6">
                  <a:lumMod val="40000"/>
                  <a:lumOff val="60000"/>
                </a:schemeClr>
              </a:solidFill>
              <a:ln>
                <a:noFill/>
              </a:ln>
              <a:effectLst/>
            </c:spPr>
            <c:extLst>
              <c:ext xmlns:c16="http://schemas.microsoft.com/office/drawing/2014/chart" uri="{C3380CC4-5D6E-409C-BE32-E72D297353CC}">
                <c16:uniqueId val="{00000009-01E8-4AFC-987A-1B69722162E7}"/>
              </c:ext>
            </c:extLst>
          </c:dPt>
          <c:dPt>
            <c:idx val="5"/>
            <c:bubble3D val="0"/>
            <c:spPr>
              <a:solidFill>
                <a:schemeClr val="accent6">
                  <a:lumMod val="75000"/>
                </a:schemeClr>
              </a:solidFill>
              <a:ln>
                <a:noFill/>
              </a:ln>
              <a:effectLst/>
            </c:spPr>
            <c:extLst>
              <c:ext xmlns:c16="http://schemas.microsoft.com/office/drawing/2014/chart" uri="{C3380CC4-5D6E-409C-BE32-E72D297353CC}">
                <c16:uniqueId val="{0000000B-01E8-4AFC-987A-1B69722162E7}"/>
              </c:ext>
            </c:extLst>
          </c:dPt>
          <c:dLbls>
            <c:dLbl>
              <c:idx val="1"/>
              <c:layout>
                <c:manualLayout>
                  <c:x val="4.2557086614173227E-2"/>
                  <c:y val="-0.1187590476359547"/>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1E8-4AFC-987A-1B69722162E7}"/>
                </c:ext>
              </c:extLst>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5-01E8-4AFC-987A-1B69722162E7}"/>
                </c:ext>
              </c:extLst>
            </c:dLbl>
            <c:dLbl>
              <c:idx val="5"/>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B-01E8-4AFC-987A-1B69722162E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Analysis!$E$246:$I$246</c:f>
              <c:strCache>
                <c:ptCount val="5"/>
                <c:pt idx="0">
                  <c:v>No Reached</c:v>
                </c:pt>
                <c:pt idx="1">
                  <c:v>Men</c:v>
                </c:pt>
                <c:pt idx="2">
                  <c:v>Women</c:v>
                </c:pt>
                <c:pt idx="3">
                  <c:v>Boys</c:v>
                </c:pt>
                <c:pt idx="4">
                  <c:v>Girls</c:v>
                </c:pt>
              </c:strCache>
            </c:strRef>
          </c:cat>
          <c:val>
            <c:numRef>
              <c:f>Analysis!$E$247:$I$247</c:f>
              <c:numCache>
                <c:formatCode>_(* #,##0_);_(* \(#,##0\);_(* "-"??_);_(@_)</c:formatCode>
                <c:ptCount val="5"/>
                <c:pt idx="0">
                  <c:v>53458</c:v>
                </c:pt>
                <c:pt idx="1">
                  <c:v>7303</c:v>
                </c:pt>
                <c:pt idx="2">
                  <c:v>33732</c:v>
                </c:pt>
                <c:pt idx="3">
                  <c:v>8819</c:v>
                </c:pt>
                <c:pt idx="4">
                  <c:v>15808</c:v>
                </c:pt>
              </c:numCache>
            </c:numRef>
          </c:val>
          <c:extLst>
            <c:ext xmlns:c16="http://schemas.microsoft.com/office/drawing/2014/chart" uri="{C3380CC4-5D6E-409C-BE32-E72D297353CC}">
              <c16:uniqueId val="{0000000C-01E8-4AFC-987A-1B69722162E7}"/>
            </c:ext>
          </c:extLst>
        </c:ser>
        <c:dLbls>
          <c:showLegendKey val="0"/>
          <c:showVal val="0"/>
          <c:showCatName val="0"/>
          <c:showSerName val="0"/>
          <c:showPercent val="0"/>
          <c:showBubbleSize val="0"/>
          <c:showLeaderLines val="1"/>
        </c:dLbls>
        <c:gapWidth val="100"/>
        <c:splitType val="cust"/>
        <c:custSplit>
          <c:secondPiePt val="1"/>
          <c:secondPiePt val="2"/>
          <c:secondPiePt val="3"/>
          <c:secondPiePt val="4"/>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[20190813_Myanmar_WASH_4W_2019_Q2_Rakhine_camp_Consolidate_DRAFT.xlsx]By Camps!PivotTable1</c:name>
    <c:fmtId val="4"/>
  </c:pivotSource>
  <c:chart>
    <c:title>
      <c:tx>
        <c:strRef>
          <c:f>'By Camps'!$B$34</c:f>
          <c:strCache>
            <c:ptCount val="1"/>
            <c:pt idx="0">
              <c:v>2019_Q2</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ivotFmts>
      <c:pivotFmt>
        <c:idx val="0"/>
      </c:pivotFmt>
      <c:pivotFmt>
        <c:idx val="1"/>
      </c:pivotFmt>
      <c:pivotFmt>
        <c:idx val="2"/>
        <c:spPr>
          <a:solidFill>
            <a:schemeClr val="tx1"/>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spPr>
          <a:solidFill>
            <a:schemeClr val="accent2">
              <a:lumMod val="75000"/>
            </a:schemeClr>
          </a:solidFill>
          <a:ln>
            <a:noFill/>
          </a:ln>
          <a:effectLst/>
        </c:spPr>
        <c:marker>
          <c:symbol val="none"/>
        </c:marker>
      </c:pivotFmt>
      <c:pivotFmt>
        <c:idx val="5"/>
        <c:spPr>
          <a:solidFill>
            <a:srgbClr val="0070C0"/>
          </a:solidFill>
          <a:ln>
            <a:noFill/>
          </a:ln>
          <a:effectLst/>
        </c:spPr>
        <c:marker>
          <c:symbol val="none"/>
        </c:marke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7"/>
        <c:spPr>
          <a:solidFill>
            <a:schemeClr val="accent6">
              <a:lumMod val="50000"/>
            </a:schemeClr>
          </a:solidFill>
          <a:ln>
            <a:noFill/>
          </a:ln>
          <a:effectLst/>
        </c:spPr>
        <c:marker>
          <c:symbol val="none"/>
        </c:marker>
      </c:pivotFmt>
      <c:pivotFmt>
        <c:idx val="8"/>
        <c:spPr>
          <a:solidFill>
            <a:schemeClr val="accent2">
              <a:lumMod val="75000"/>
            </a:schemeClr>
          </a:solidFill>
          <a:ln>
            <a:noFill/>
          </a:ln>
          <a:effectLst/>
        </c:spPr>
        <c:marker>
          <c:symbol val="none"/>
        </c:marker>
      </c:pivotFmt>
      <c:pivotFmt>
        <c:idx val="9"/>
        <c:spPr>
          <a:solidFill>
            <a:srgbClr val="0070C0"/>
          </a:solidFill>
          <a:ln>
            <a:noFill/>
          </a:ln>
          <a:effectLst/>
        </c:spPr>
        <c:marker>
          <c:symbol val="none"/>
        </c:marker>
      </c:pivotFmt>
    </c:pivotFmts>
    <c:plotArea>
      <c:layout>
        <c:manualLayout>
          <c:layoutTarget val="inner"/>
          <c:xMode val="edge"/>
          <c:yMode val="edge"/>
          <c:x val="0.22539750826490748"/>
          <c:y val="0.11493115019255251"/>
          <c:w val="0.54299572271418772"/>
          <c:h val="0.82620867752909466"/>
        </c:manualLayout>
      </c:layout>
      <c:barChart>
        <c:barDir val="bar"/>
        <c:grouping val="clustered"/>
        <c:varyColors val="0"/>
        <c:ser>
          <c:idx val="0"/>
          <c:order val="0"/>
          <c:tx>
            <c:strRef>
              <c:f>'By Camps'!$B$34</c:f>
              <c:strCache>
                <c:ptCount val="1"/>
                <c:pt idx="0">
                  <c:v>Total Population</c:v>
                </c:pt>
              </c:strCache>
            </c:strRef>
          </c:tx>
          <c:spPr>
            <a:solidFill>
              <a:schemeClr val="tx1"/>
            </a:solidFill>
            <a:ln>
              <a:noFill/>
            </a:ln>
            <a:effectLst/>
          </c:spPr>
          <c:invertIfNegative val="0"/>
          <c:cat>
            <c:strRef>
              <c:f>'By Camps'!$B$34</c:f>
              <c:strCache>
                <c:ptCount val="25"/>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strCache>
            </c:strRef>
          </c:cat>
          <c:val>
            <c:numRef>
              <c:f>'By Camps'!$B$34</c:f>
              <c:numCache>
                <c:formatCode>General</c:formatCode>
                <c:ptCount val="25"/>
                <c:pt idx="0">
                  <c:v>4717</c:v>
                </c:pt>
                <c:pt idx="1">
                  <c:v>2111</c:v>
                </c:pt>
                <c:pt idx="2">
                  <c:v>4892</c:v>
                </c:pt>
                <c:pt idx="3">
                  <c:v>6936</c:v>
                </c:pt>
                <c:pt idx="4">
                  <c:v>11625</c:v>
                </c:pt>
                <c:pt idx="5">
                  <c:v>3360</c:v>
                </c:pt>
                <c:pt idx="6">
                  <c:v>979</c:v>
                </c:pt>
                <c:pt idx="7">
                  <c:v>6042</c:v>
                </c:pt>
                <c:pt idx="8">
                  <c:v>3486</c:v>
                </c:pt>
                <c:pt idx="9">
                  <c:v>4645</c:v>
                </c:pt>
                <c:pt idx="10">
                  <c:v>4104</c:v>
                </c:pt>
                <c:pt idx="11">
                  <c:v>581</c:v>
                </c:pt>
                <c:pt idx="12">
                  <c:v>3095</c:v>
                </c:pt>
                <c:pt idx="13">
                  <c:v>13302</c:v>
                </c:pt>
                <c:pt idx="14">
                  <c:v>11487</c:v>
                </c:pt>
                <c:pt idx="15">
                  <c:v>11564</c:v>
                </c:pt>
                <c:pt idx="16">
                  <c:v>2805</c:v>
                </c:pt>
                <c:pt idx="17">
                  <c:v>2920</c:v>
                </c:pt>
                <c:pt idx="18">
                  <c:v>6016</c:v>
                </c:pt>
                <c:pt idx="19">
                  <c:v>5950</c:v>
                </c:pt>
                <c:pt idx="20">
                  <c:v>1670</c:v>
                </c:pt>
                <c:pt idx="21">
                  <c:v>2186</c:v>
                </c:pt>
                <c:pt idx="22">
                  <c:v>2248</c:v>
                </c:pt>
                <c:pt idx="23">
                  <c:v>2285</c:v>
                </c:pt>
                <c:pt idx="24">
                  <c:v>114</c:v>
                </c:pt>
              </c:numCache>
            </c:numRef>
          </c:val>
          <c:extLst>
            <c:ext xmlns:c16="http://schemas.microsoft.com/office/drawing/2014/chart" uri="{C3380CC4-5D6E-409C-BE32-E72D297353CC}">
              <c16:uniqueId val="{00000000-92B1-419D-9658-6A092474F164}"/>
            </c:ext>
          </c:extLst>
        </c:ser>
        <c:ser>
          <c:idx val="1"/>
          <c:order val="1"/>
          <c:tx>
            <c:strRef>
              <c:f>'By Camps'!$B$34</c:f>
              <c:strCache>
                <c:ptCount val="1"/>
                <c:pt idx="0">
                  <c:v># of People adopt basic personal and community hygiene practices</c:v>
                </c:pt>
              </c:strCache>
            </c:strRef>
          </c:tx>
          <c:spPr>
            <a:solidFill>
              <a:schemeClr val="accent6">
                <a:lumMod val="50000"/>
              </a:schemeClr>
            </a:solidFill>
            <a:ln>
              <a:noFill/>
            </a:ln>
            <a:effectLst/>
          </c:spPr>
          <c:invertIfNegative val="0"/>
          <c:cat>
            <c:strRef>
              <c:f>'By Camps'!$B$34</c:f>
              <c:strCache>
                <c:ptCount val="25"/>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strCache>
            </c:strRef>
          </c:cat>
          <c:val>
            <c:numRef>
              <c:f>'By Camps'!$B$34</c:f>
              <c:numCache>
                <c:formatCode>General</c:formatCode>
                <c:ptCount val="25"/>
                <c:pt idx="0">
                  <c:v>4717</c:v>
                </c:pt>
                <c:pt idx="1">
                  <c:v>1895</c:v>
                </c:pt>
                <c:pt idx="2">
                  <c:v>4892</c:v>
                </c:pt>
                <c:pt idx="3">
                  <c:v>6936</c:v>
                </c:pt>
                <c:pt idx="4">
                  <c:v>11625</c:v>
                </c:pt>
                <c:pt idx="5">
                  <c:v>3360</c:v>
                </c:pt>
                <c:pt idx="6">
                  <c:v>979</c:v>
                </c:pt>
                <c:pt idx="7">
                  <c:v>6042</c:v>
                </c:pt>
                <c:pt idx="8">
                  <c:v>3486</c:v>
                </c:pt>
                <c:pt idx="9">
                  <c:v>4645</c:v>
                </c:pt>
                <c:pt idx="10">
                  <c:v>4104</c:v>
                </c:pt>
                <c:pt idx="11">
                  <c:v>0</c:v>
                </c:pt>
                <c:pt idx="12">
                  <c:v>3095</c:v>
                </c:pt>
                <c:pt idx="13">
                  <c:v>13302</c:v>
                </c:pt>
                <c:pt idx="14">
                  <c:v>11487</c:v>
                </c:pt>
                <c:pt idx="15">
                  <c:v>11564</c:v>
                </c:pt>
                <c:pt idx="16">
                  <c:v>2805</c:v>
                </c:pt>
                <c:pt idx="17">
                  <c:v>2920</c:v>
                </c:pt>
                <c:pt idx="18">
                  <c:v>6016</c:v>
                </c:pt>
                <c:pt idx="19">
                  <c:v>5950</c:v>
                </c:pt>
                <c:pt idx="20">
                  <c:v>1670</c:v>
                </c:pt>
                <c:pt idx="21">
                  <c:v>2186</c:v>
                </c:pt>
                <c:pt idx="22">
                  <c:v>2248</c:v>
                </c:pt>
                <c:pt idx="23">
                  <c:v>2285</c:v>
                </c:pt>
                <c:pt idx="24">
                  <c:v>114</c:v>
                </c:pt>
              </c:numCache>
            </c:numRef>
          </c:val>
          <c:extLst>
            <c:ext xmlns:c16="http://schemas.microsoft.com/office/drawing/2014/chart" uri="{C3380CC4-5D6E-409C-BE32-E72D297353CC}">
              <c16:uniqueId val="{00000001-AA6C-47F1-9AB0-98C69D3B90AD}"/>
            </c:ext>
          </c:extLst>
        </c:ser>
        <c:ser>
          <c:idx val="2"/>
          <c:order val="2"/>
          <c:tx>
            <c:strRef>
              <c:f>'By Camps'!$B$34</c:f>
              <c:strCache>
                <c:ptCount val="1"/>
                <c:pt idx="0">
                  <c:v># of people access to functioning  sanitation facilities</c:v>
                </c:pt>
              </c:strCache>
            </c:strRef>
          </c:tx>
          <c:spPr>
            <a:solidFill>
              <a:schemeClr val="accent2">
                <a:lumMod val="75000"/>
              </a:schemeClr>
            </a:solidFill>
            <a:ln>
              <a:noFill/>
            </a:ln>
            <a:effectLst/>
          </c:spPr>
          <c:invertIfNegative val="0"/>
          <c:cat>
            <c:strRef>
              <c:f>'By Camps'!$B$34</c:f>
              <c:strCache>
                <c:ptCount val="25"/>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strCache>
            </c:strRef>
          </c:cat>
          <c:val>
            <c:numRef>
              <c:f>'By Camps'!$B$34</c:f>
              <c:numCache>
                <c:formatCode>General</c:formatCode>
                <c:ptCount val="25"/>
                <c:pt idx="0">
                  <c:v>4129</c:v>
                </c:pt>
                <c:pt idx="1">
                  <c:v>2111</c:v>
                </c:pt>
                <c:pt idx="2">
                  <c:v>4130</c:v>
                </c:pt>
                <c:pt idx="3">
                  <c:v>5830</c:v>
                </c:pt>
                <c:pt idx="4">
                  <c:v>8160</c:v>
                </c:pt>
                <c:pt idx="5">
                  <c:v>0</c:v>
                </c:pt>
                <c:pt idx="6">
                  <c:v>979</c:v>
                </c:pt>
                <c:pt idx="7">
                  <c:v>3930</c:v>
                </c:pt>
                <c:pt idx="8">
                  <c:v>3486</c:v>
                </c:pt>
                <c:pt idx="9">
                  <c:v>2074</c:v>
                </c:pt>
                <c:pt idx="10">
                  <c:v>3023</c:v>
                </c:pt>
                <c:pt idx="11">
                  <c:v>581</c:v>
                </c:pt>
                <c:pt idx="12">
                  <c:v>3095</c:v>
                </c:pt>
                <c:pt idx="13">
                  <c:v>8870</c:v>
                </c:pt>
                <c:pt idx="14">
                  <c:v>6816</c:v>
                </c:pt>
                <c:pt idx="15">
                  <c:v>11564</c:v>
                </c:pt>
                <c:pt idx="16">
                  <c:v>2805</c:v>
                </c:pt>
                <c:pt idx="17">
                  <c:v>2920</c:v>
                </c:pt>
                <c:pt idx="18">
                  <c:v>4020</c:v>
                </c:pt>
                <c:pt idx="19">
                  <c:v>5030</c:v>
                </c:pt>
                <c:pt idx="20">
                  <c:v>800</c:v>
                </c:pt>
                <c:pt idx="21">
                  <c:v>1710</c:v>
                </c:pt>
                <c:pt idx="22">
                  <c:v>2200</c:v>
                </c:pt>
                <c:pt idx="23">
                  <c:v>2285</c:v>
                </c:pt>
                <c:pt idx="24">
                  <c:v>100</c:v>
                </c:pt>
              </c:numCache>
            </c:numRef>
          </c:val>
          <c:extLst>
            <c:ext xmlns:c16="http://schemas.microsoft.com/office/drawing/2014/chart" uri="{C3380CC4-5D6E-409C-BE32-E72D297353CC}">
              <c16:uniqueId val="{00000002-AA6C-47F1-9AB0-98C69D3B90AD}"/>
            </c:ext>
          </c:extLst>
        </c:ser>
        <c:ser>
          <c:idx val="3"/>
          <c:order val="3"/>
          <c:tx>
            <c:strRef>
              <c:f>'By Camps'!$B$34</c:f>
              <c:strCache>
                <c:ptCount val="1"/>
                <c:pt idx="0">
                  <c:v># of people Equitable and continuous access to sufficient quantity of domestic water</c:v>
                </c:pt>
              </c:strCache>
            </c:strRef>
          </c:tx>
          <c:spPr>
            <a:solidFill>
              <a:srgbClr val="0070C0"/>
            </a:solidFill>
            <a:ln>
              <a:noFill/>
            </a:ln>
            <a:effectLst/>
          </c:spPr>
          <c:invertIfNegative val="0"/>
          <c:cat>
            <c:strRef>
              <c:f>'By Camps'!$B$34</c:f>
              <c:strCache>
                <c:ptCount val="25"/>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strCache>
            </c:strRef>
          </c:cat>
          <c:val>
            <c:numRef>
              <c:f>'By Camps'!$B$34</c:f>
              <c:numCache>
                <c:formatCode>General</c:formatCode>
                <c:ptCount val="25"/>
                <c:pt idx="0">
                  <c:v>1284.8370370370371</c:v>
                </c:pt>
                <c:pt idx="1">
                  <c:v>2111</c:v>
                </c:pt>
                <c:pt idx="2">
                  <c:v>4892</c:v>
                </c:pt>
                <c:pt idx="3">
                  <c:v>6936</c:v>
                </c:pt>
                <c:pt idx="4">
                  <c:v>11625</c:v>
                </c:pt>
                <c:pt idx="5">
                  <c:v>3360</c:v>
                </c:pt>
                <c:pt idx="6">
                  <c:v>979</c:v>
                </c:pt>
                <c:pt idx="7">
                  <c:v>6042</c:v>
                </c:pt>
                <c:pt idx="8">
                  <c:v>3486</c:v>
                </c:pt>
                <c:pt idx="9">
                  <c:v>4645</c:v>
                </c:pt>
                <c:pt idx="10">
                  <c:v>2717.6562962962967</c:v>
                </c:pt>
                <c:pt idx="11">
                  <c:v>581</c:v>
                </c:pt>
                <c:pt idx="12">
                  <c:v>3095</c:v>
                </c:pt>
                <c:pt idx="13">
                  <c:v>13302</c:v>
                </c:pt>
                <c:pt idx="14">
                  <c:v>11487</c:v>
                </c:pt>
                <c:pt idx="15">
                  <c:v>11564</c:v>
                </c:pt>
                <c:pt idx="16">
                  <c:v>2805</c:v>
                </c:pt>
                <c:pt idx="17">
                  <c:v>2920</c:v>
                </c:pt>
                <c:pt idx="18">
                  <c:v>6016</c:v>
                </c:pt>
                <c:pt idx="19">
                  <c:v>5950</c:v>
                </c:pt>
                <c:pt idx="20">
                  <c:v>1670</c:v>
                </c:pt>
                <c:pt idx="21">
                  <c:v>2186</c:v>
                </c:pt>
                <c:pt idx="22">
                  <c:v>2248</c:v>
                </c:pt>
                <c:pt idx="23">
                  <c:v>2285</c:v>
                </c:pt>
                <c:pt idx="24">
                  <c:v>114</c:v>
                </c:pt>
              </c:numCache>
            </c:numRef>
          </c:val>
          <c:extLst>
            <c:ext xmlns:c16="http://schemas.microsoft.com/office/drawing/2014/chart" uri="{C3380CC4-5D6E-409C-BE32-E72D297353CC}">
              <c16:uniqueId val="{00000003-AA6C-47F1-9AB0-98C69D3B90AD}"/>
            </c:ext>
          </c:extLst>
        </c:ser>
        <c:dLbls>
          <c:showLegendKey val="0"/>
          <c:showVal val="0"/>
          <c:showCatName val="0"/>
          <c:showSerName val="0"/>
          <c:showPercent val="0"/>
          <c:showBubbleSize val="0"/>
        </c:dLbls>
        <c:gapWidth val="100"/>
        <c:axId val="354334472"/>
        <c:axId val="354340352"/>
      </c:barChart>
      <c:catAx>
        <c:axId val="35433447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54340352"/>
        <c:crosses val="autoZero"/>
        <c:auto val="1"/>
        <c:lblAlgn val="ctr"/>
        <c:lblOffset val="100"/>
        <c:noMultiLvlLbl val="0"/>
      </c:catAx>
      <c:valAx>
        <c:axId val="354340352"/>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Nb of People</a:t>
                </a:r>
              </a:p>
            </c:rich>
          </c:tx>
          <c:layout>
            <c:manualLayout>
              <c:xMode val="edge"/>
              <c:yMode val="edge"/>
              <c:x val="0.8665541111587558"/>
              <c:y val="0.9546071163545147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54334472"/>
        <c:crosses val="autoZero"/>
        <c:crossBetween val="between"/>
      </c:valAx>
      <c:spPr>
        <a:noFill/>
        <a:ln>
          <a:noFill/>
        </a:ln>
        <a:effectLst/>
      </c:spPr>
    </c:plotArea>
    <c:legend>
      <c:legendPos val="r"/>
      <c:layout>
        <c:manualLayout>
          <c:xMode val="edge"/>
          <c:yMode val="edge"/>
          <c:x val="0.78029757406510003"/>
          <c:y val="0.22990727458670238"/>
          <c:w val="0.21970242593490003"/>
          <c:h val="0.5512889780200463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[20190813_Myanmar_WASH_4W_2019_Q2_Rakhine_camp_Consolidate_DRAFT.xlsx]Tracking Dashboard!PivotTable1</c:name>
    <c:fmtId val="3"/>
  </c:pivotSource>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t>Tracking Quarterly Achievement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en-US"/>
        </a:p>
      </c:txPr>
    </c:title>
    <c:autoTitleDeleted val="0"/>
    <c:pivotFmts>
      <c:pivotFmt>
        <c:idx val="0"/>
      </c:pivotFmt>
      <c:pivotFmt>
        <c:idx val="1"/>
        <c:spPr>
          <a:solidFill>
            <a:srgbClr val="0070C0"/>
          </a:solidFill>
          <a:ln>
            <a:noFill/>
          </a:ln>
          <a:effectLst/>
        </c:spPr>
        <c:marker>
          <c:symbol val="none"/>
        </c:marker>
      </c:pivotFmt>
      <c:pivotFmt>
        <c:idx val="2"/>
        <c:spPr>
          <a:solidFill>
            <a:schemeClr val="accent2">
              <a:lumMod val="75000"/>
            </a:schemeClr>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pivotFmt>
      <c:pivotFmt>
        <c:idx val="5"/>
        <c:spPr>
          <a:solidFill>
            <a:schemeClr val="accent6">
              <a:lumMod val="75000"/>
            </a:schemeClr>
          </a:solidFill>
          <a:ln>
            <a:noFill/>
          </a:ln>
          <a:effectLst/>
        </c:spPr>
        <c:marker>
          <c:symbol val="none"/>
        </c:marker>
      </c:pivotFmt>
      <c:pivotFmt>
        <c:idx val="6"/>
        <c:spPr>
          <a:solidFill>
            <a:schemeClr val="accent2">
              <a:lumMod val="75000"/>
            </a:schemeClr>
          </a:solidFill>
          <a:ln>
            <a:noFill/>
          </a:ln>
          <a:effectLst/>
        </c:spPr>
        <c:marker>
          <c:symbol val="none"/>
        </c:marker>
      </c:pivotFmt>
      <c:pivotFmt>
        <c:idx val="7"/>
        <c:spPr>
          <a:solidFill>
            <a:srgbClr val="0070C0"/>
          </a:solidFill>
          <a:ln>
            <a:noFill/>
          </a:ln>
          <a:effectLst/>
        </c:spPr>
        <c:marker>
          <c:symbol val="none"/>
        </c:marker>
      </c:pivotFmt>
    </c:pivotFmts>
    <c:plotArea>
      <c:layout>
        <c:manualLayout>
          <c:layoutTarget val="inner"/>
          <c:xMode val="edge"/>
          <c:yMode val="edge"/>
          <c:x val="0.11813904458850057"/>
          <c:y val="6.1073498743170695E-2"/>
          <c:w val="0.62467518940594613"/>
          <c:h val="0.90227339407347507"/>
        </c:manualLayout>
      </c:layout>
      <c:barChart>
        <c:barDir val="bar"/>
        <c:grouping val="clustered"/>
        <c:varyColors val="0"/>
        <c:ser>
          <c:idx val="0"/>
          <c:order val="0"/>
          <c:tx>
            <c:strRef>
              <c:f>'Tracking Dashboard'!$N$4</c:f>
              <c:strCache>
                <c:ptCount val="1"/>
                <c:pt idx="0">
                  <c:v># of People adopt basic personal and community hygiene practices</c:v>
                </c:pt>
              </c:strCache>
            </c:strRef>
          </c:tx>
          <c:spPr>
            <a:solidFill>
              <a:schemeClr val="accent6">
                <a:lumMod val="75000"/>
              </a:schemeClr>
            </a:solidFill>
            <a:ln>
              <a:noFill/>
            </a:ln>
            <a:effectLst/>
          </c:spPr>
          <c:invertIfNegative val="0"/>
          <c:cat>
            <c:multiLvlStrRef>
              <c:f>'Tracking Dashboard'!$L$5:$M$55</c:f>
              <c:multiLvlStrCache>
                <c:ptCount val="25"/>
                <c:lvl>
                  <c:pt idx="0">
                    <c:v>2019_Q2</c:v>
                  </c:pt>
                  <c:pt idx="1">
                    <c:v>2019_Q2</c:v>
                  </c:pt>
                  <c:pt idx="2">
                    <c:v>2019_Q2</c:v>
                  </c:pt>
                  <c:pt idx="3">
                    <c:v>2019_Q2</c:v>
                  </c:pt>
                  <c:pt idx="4">
                    <c:v>2019_Q2</c:v>
                  </c:pt>
                  <c:pt idx="5">
                    <c:v>2019_Q2</c:v>
                  </c:pt>
                  <c:pt idx="6">
                    <c:v>2019_Q2</c:v>
                  </c:pt>
                  <c:pt idx="7">
                    <c:v>2019_Q2</c:v>
                  </c:pt>
                  <c:pt idx="8">
                    <c:v>2019_Q2</c:v>
                  </c:pt>
                  <c:pt idx="9">
                    <c:v>2019_Q2</c:v>
                  </c:pt>
                  <c:pt idx="10">
                    <c:v>2019_Q2</c:v>
                  </c:pt>
                  <c:pt idx="11">
                    <c:v>2019_Q2</c:v>
                  </c:pt>
                  <c:pt idx="12">
                    <c:v>2019_Q2</c:v>
                  </c:pt>
                  <c:pt idx="13">
                    <c:v>2019_Q2</c:v>
                  </c:pt>
                  <c:pt idx="14">
                    <c:v>2019_Q2</c:v>
                  </c:pt>
                  <c:pt idx="15">
                    <c:v>2019_Q2</c:v>
                  </c:pt>
                  <c:pt idx="16">
                    <c:v>2019_Q2</c:v>
                  </c:pt>
                  <c:pt idx="17">
                    <c:v>2019_Q2</c:v>
                  </c:pt>
                  <c:pt idx="18">
                    <c:v>2019_Q2</c:v>
                  </c:pt>
                  <c:pt idx="19">
                    <c:v>2019_Q2</c:v>
                  </c:pt>
                  <c:pt idx="20">
                    <c:v>2019_Q2</c:v>
                  </c:pt>
                  <c:pt idx="21">
                    <c:v>2019_Q2</c:v>
                  </c:pt>
                  <c:pt idx="22">
                    <c:v>2019_Q2</c:v>
                  </c:pt>
                  <c:pt idx="23">
                    <c:v>2019_Q2</c:v>
                  </c:pt>
                  <c:pt idx="24">
                    <c:v>2019_Q2</c:v>
                  </c:pt>
                </c:lvl>
                <c:lvl>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lvl>
              </c:multiLvlStrCache>
            </c:multiLvlStrRef>
          </c:cat>
          <c:val>
            <c:numRef>
              <c:f>'Tracking Dashboard'!$N$5:$N$55</c:f>
              <c:numCache>
                <c:formatCode>General</c:formatCode>
                <c:ptCount val="25"/>
                <c:pt idx="0">
                  <c:v>4717</c:v>
                </c:pt>
                <c:pt idx="1">
                  <c:v>1895</c:v>
                </c:pt>
                <c:pt idx="2">
                  <c:v>4892</c:v>
                </c:pt>
                <c:pt idx="3">
                  <c:v>6936</c:v>
                </c:pt>
                <c:pt idx="4">
                  <c:v>11625</c:v>
                </c:pt>
                <c:pt idx="5">
                  <c:v>3360</c:v>
                </c:pt>
                <c:pt idx="6">
                  <c:v>979</c:v>
                </c:pt>
                <c:pt idx="7">
                  <c:v>6042</c:v>
                </c:pt>
                <c:pt idx="8">
                  <c:v>3486</c:v>
                </c:pt>
                <c:pt idx="9">
                  <c:v>4645</c:v>
                </c:pt>
                <c:pt idx="10">
                  <c:v>4104</c:v>
                </c:pt>
                <c:pt idx="11">
                  <c:v>0</c:v>
                </c:pt>
                <c:pt idx="12">
                  <c:v>3095</c:v>
                </c:pt>
                <c:pt idx="13">
                  <c:v>13302</c:v>
                </c:pt>
                <c:pt idx="14">
                  <c:v>11487</c:v>
                </c:pt>
                <c:pt idx="15">
                  <c:v>11564</c:v>
                </c:pt>
                <c:pt idx="16">
                  <c:v>2805</c:v>
                </c:pt>
                <c:pt idx="17">
                  <c:v>2920</c:v>
                </c:pt>
                <c:pt idx="18">
                  <c:v>6016</c:v>
                </c:pt>
                <c:pt idx="19">
                  <c:v>5950</c:v>
                </c:pt>
                <c:pt idx="20">
                  <c:v>1670</c:v>
                </c:pt>
                <c:pt idx="21">
                  <c:v>2186</c:v>
                </c:pt>
                <c:pt idx="22">
                  <c:v>2248</c:v>
                </c:pt>
                <c:pt idx="23">
                  <c:v>2285</c:v>
                </c:pt>
                <c:pt idx="24">
                  <c:v>114</c:v>
                </c:pt>
              </c:numCache>
            </c:numRef>
          </c:val>
          <c:extLst>
            <c:ext xmlns:c16="http://schemas.microsoft.com/office/drawing/2014/chart" uri="{C3380CC4-5D6E-409C-BE32-E72D297353CC}">
              <c16:uniqueId val="{00000000-FFE7-4630-AA87-8BB156FFBC38}"/>
            </c:ext>
          </c:extLst>
        </c:ser>
        <c:ser>
          <c:idx val="1"/>
          <c:order val="1"/>
          <c:tx>
            <c:strRef>
              <c:f>'Tracking Dashboard'!$O$4</c:f>
              <c:strCache>
                <c:ptCount val="1"/>
                <c:pt idx="0">
                  <c:v># of people access to functioning  sanitation facilities</c:v>
                </c:pt>
              </c:strCache>
            </c:strRef>
          </c:tx>
          <c:spPr>
            <a:solidFill>
              <a:schemeClr val="accent2">
                <a:lumMod val="75000"/>
              </a:schemeClr>
            </a:solidFill>
            <a:ln>
              <a:noFill/>
            </a:ln>
            <a:effectLst/>
          </c:spPr>
          <c:invertIfNegative val="0"/>
          <c:cat>
            <c:multiLvlStrRef>
              <c:f>'Tracking Dashboard'!$L$5:$M$55</c:f>
              <c:multiLvlStrCache>
                <c:ptCount val="25"/>
                <c:lvl>
                  <c:pt idx="0">
                    <c:v>2019_Q2</c:v>
                  </c:pt>
                  <c:pt idx="1">
                    <c:v>2019_Q2</c:v>
                  </c:pt>
                  <c:pt idx="2">
                    <c:v>2019_Q2</c:v>
                  </c:pt>
                  <c:pt idx="3">
                    <c:v>2019_Q2</c:v>
                  </c:pt>
                  <c:pt idx="4">
                    <c:v>2019_Q2</c:v>
                  </c:pt>
                  <c:pt idx="5">
                    <c:v>2019_Q2</c:v>
                  </c:pt>
                  <c:pt idx="6">
                    <c:v>2019_Q2</c:v>
                  </c:pt>
                  <c:pt idx="7">
                    <c:v>2019_Q2</c:v>
                  </c:pt>
                  <c:pt idx="8">
                    <c:v>2019_Q2</c:v>
                  </c:pt>
                  <c:pt idx="9">
                    <c:v>2019_Q2</c:v>
                  </c:pt>
                  <c:pt idx="10">
                    <c:v>2019_Q2</c:v>
                  </c:pt>
                  <c:pt idx="11">
                    <c:v>2019_Q2</c:v>
                  </c:pt>
                  <c:pt idx="12">
                    <c:v>2019_Q2</c:v>
                  </c:pt>
                  <c:pt idx="13">
                    <c:v>2019_Q2</c:v>
                  </c:pt>
                  <c:pt idx="14">
                    <c:v>2019_Q2</c:v>
                  </c:pt>
                  <c:pt idx="15">
                    <c:v>2019_Q2</c:v>
                  </c:pt>
                  <c:pt idx="16">
                    <c:v>2019_Q2</c:v>
                  </c:pt>
                  <c:pt idx="17">
                    <c:v>2019_Q2</c:v>
                  </c:pt>
                  <c:pt idx="18">
                    <c:v>2019_Q2</c:v>
                  </c:pt>
                  <c:pt idx="19">
                    <c:v>2019_Q2</c:v>
                  </c:pt>
                  <c:pt idx="20">
                    <c:v>2019_Q2</c:v>
                  </c:pt>
                  <c:pt idx="21">
                    <c:v>2019_Q2</c:v>
                  </c:pt>
                  <c:pt idx="22">
                    <c:v>2019_Q2</c:v>
                  </c:pt>
                  <c:pt idx="23">
                    <c:v>2019_Q2</c:v>
                  </c:pt>
                  <c:pt idx="24">
                    <c:v>2019_Q2</c:v>
                  </c:pt>
                </c:lvl>
                <c:lvl>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lvl>
              </c:multiLvlStrCache>
            </c:multiLvlStrRef>
          </c:cat>
          <c:val>
            <c:numRef>
              <c:f>'Tracking Dashboard'!$O$5:$O$55</c:f>
              <c:numCache>
                <c:formatCode>General</c:formatCode>
                <c:ptCount val="25"/>
                <c:pt idx="0">
                  <c:v>4129</c:v>
                </c:pt>
                <c:pt idx="1">
                  <c:v>2111</c:v>
                </c:pt>
                <c:pt idx="2">
                  <c:v>4130</c:v>
                </c:pt>
                <c:pt idx="3">
                  <c:v>5830</c:v>
                </c:pt>
                <c:pt idx="4">
                  <c:v>8160</c:v>
                </c:pt>
                <c:pt idx="5">
                  <c:v>0</c:v>
                </c:pt>
                <c:pt idx="6">
                  <c:v>979</c:v>
                </c:pt>
                <c:pt idx="7">
                  <c:v>3930</c:v>
                </c:pt>
                <c:pt idx="8">
                  <c:v>3486</c:v>
                </c:pt>
                <c:pt idx="9">
                  <c:v>2074</c:v>
                </c:pt>
                <c:pt idx="10">
                  <c:v>3023</c:v>
                </c:pt>
                <c:pt idx="11">
                  <c:v>581</c:v>
                </c:pt>
                <c:pt idx="12">
                  <c:v>3095</c:v>
                </c:pt>
                <c:pt idx="13">
                  <c:v>8870</c:v>
                </c:pt>
                <c:pt idx="14">
                  <c:v>6816</c:v>
                </c:pt>
                <c:pt idx="15">
                  <c:v>11564</c:v>
                </c:pt>
                <c:pt idx="16">
                  <c:v>2805</c:v>
                </c:pt>
                <c:pt idx="17">
                  <c:v>2920</c:v>
                </c:pt>
                <c:pt idx="18">
                  <c:v>4020</c:v>
                </c:pt>
                <c:pt idx="19">
                  <c:v>5030</c:v>
                </c:pt>
                <c:pt idx="20">
                  <c:v>800</c:v>
                </c:pt>
                <c:pt idx="21">
                  <c:v>1710</c:v>
                </c:pt>
                <c:pt idx="22">
                  <c:v>2200</c:v>
                </c:pt>
                <c:pt idx="23">
                  <c:v>2285</c:v>
                </c:pt>
                <c:pt idx="24">
                  <c:v>100</c:v>
                </c:pt>
              </c:numCache>
            </c:numRef>
          </c:val>
          <c:extLst>
            <c:ext xmlns:c16="http://schemas.microsoft.com/office/drawing/2014/chart" uri="{C3380CC4-5D6E-409C-BE32-E72D297353CC}">
              <c16:uniqueId val="{00000001-FFE7-4630-AA87-8BB156FFBC38}"/>
            </c:ext>
          </c:extLst>
        </c:ser>
        <c:ser>
          <c:idx val="2"/>
          <c:order val="2"/>
          <c:tx>
            <c:strRef>
              <c:f>'Tracking Dashboard'!$P$4</c:f>
              <c:strCache>
                <c:ptCount val="1"/>
                <c:pt idx="0">
                  <c:v># of people Equitable and continuous access to sufficient quantity of domestic water</c:v>
                </c:pt>
              </c:strCache>
            </c:strRef>
          </c:tx>
          <c:spPr>
            <a:solidFill>
              <a:srgbClr val="0070C0"/>
            </a:solidFill>
            <a:ln>
              <a:noFill/>
            </a:ln>
            <a:effectLst/>
          </c:spPr>
          <c:invertIfNegative val="0"/>
          <c:cat>
            <c:multiLvlStrRef>
              <c:f>'Tracking Dashboard'!$L$5:$M$55</c:f>
              <c:multiLvlStrCache>
                <c:ptCount val="25"/>
                <c:lvl>
                  <c:pt idx="0">
                    <c:v>2019_Q2</c:v>
                  </c:pt>
                  <c:pt idx="1">
                    <c:v>2019_Q2</c:v>
                  </c:pt>
                  <c:pt idx="2">
                    <c:v>2019_Q2</c:v>
                  </c:pt>
                  <c:pt idx="3">
                    <c:v>2019_Q2</c:v>
                  </c:pt>
                  <c:pt idx="4">
                    <c:v>2019_Q2</c:v>
                  </c:pt>
                  <c:pt idx="5">
                    <c:v>2019_Q2</c:v>
                  </c:pt>
                  <c:pt idx="6">
                    <c:v>2019_Q2</c:v>
                  </c:pt>
                  <c:pt idx="7">
                    <c:v>2019_Q2</c:v>
                  </c:pt>
                  <c:pt idx="8">
                    <c:v>2019_Q2</c:v>
                  </c:pt>
                  <c:pt idx="9">
                    <c:v>2019_Q2</c:v>
                  </c:pt>
                  <c:pt idx="10">
                    <c:v>2019_Q2</c:v>
                  </c:pt>
                  <c:pt idx="11">
                    <c:v>2019_Q2</c:v>
                  </c:pt>
                  <c:pt idx="12">
                    <c:v>2019_Q2</c:v>
                  </c:pt>
                  <c:pt idx="13">
                    <c:v>2019_Q2</c:v>
                  </c:pt>
                  <c:pt idx="14">
                    <c:v>2019_Q2</c:v>
                  </c:pt>
                  <c:pt idx="15">
                    <c:v>2019_Q2</c:v>
                  </c:pt>
                  <c:pt idx="16">
                    <c:v>2019_Q2</c:v>
                  </c:pt>
                  <c:pt idx="17">
                    <c:v>2019_Q2</c:v>
                  </c:pt>
                  <c:pt idx="18">
                    <c:v>2019_Q2</c:v>
                  </c:pt>
                  <c:pt idx="19">
                    <c:v>2019_Q2</c:v>
                  </c:pt>
                  <c:pt idx="20">
                    <c:v>2019_Q2</c:v>
                  </c:pt>
                  <c:pt idx="21">
                    <c:v>2019_Q2</c:v>
                  </c:pt>
                  <c:pt idx="22">
                    <c:v>2019_Q2</c:v>
                  </c:pt>
                  <c:pt idx="23">
                    <c:v>2019_Q2</c:v>
                  </c:pt>
                  <c:pt idx="24">
                    <c:v>2019_Q2</c:v>
                  </c:pt>
                </c:lvl>
                <c:lvl>
                  <c:pt idx="0">
                    <c:v>Ah Nauk Ywe</c:v>
                  </c:pt>
                  <c:pt idx="1">
                    <c:v>Basare</c:v>
                  </c:pt>
                  <c:pt idx="2">
                    <c:v>Baw Du Pha 1</c:v>
                  </c:pt>
                  <c:pt idx="3">
                    <c:v>Baw Du Pha 2</c:v>
                  </c:pt>
                  <c:pt idx="4">
                    <c:v>Dar Pai</c:v>
                  </c:pt>
                  <c:pt idx="5">
                    <c:v>Dar Pai (IDP in host families)</c:v>
                  </c:pt>
                  <c:pt idx="6">
                    <c:v>Kyauk Ta Lone</c:v>
                  </c:pt>
                  <c:pt idx="7">
                    <c:v>Kyein Ni Pyin</c:v>
                  </c:pt>
                  <c:pt idx="8">
                    <c:v>Maw Ti Ngar</c:v>
                  </c:pt>
                  <c:pt idx="9">
                    <c:v>Nget Chaung 1</c:v>
                  </c:pt>
                  <c:pt idx="10">
                    <c:v>Nget Chaung 2</c:v>
                  </c:pt>
                  <c:pt idx="11">
                    <c:v>NiDin</c:v>
                  </c:pt>
                  <c:pt idx="12">
                    <c:v>Ohn Taw Chay</c:v>
                  </c:pt>
                  <c:pt idx="13">
                    <c:v>Ohn Taw Gyi (North)</c:v>
                  </c:pt>
                  <c:pt idx="14">
                    <c:v>Ohn Taw Gyi (South)</c:v>
                  </c:pt>
                  <c:pt idx="15">
                    <c:v>Say Tha Mar Gyi</c:v>
                  </c:pt>
                  <c:pt idx="16">
                    <c:v>Sin Tet Maw</c:v>
                  </c:pt>
                  <c:pt idx="17">
                    <c:v>Taung Paw</c:v>
                  </c:pt>
                  <c:pt idx="18">
                    <c:v>Thae Chaung</c:v>
                  </c:pt>
                  <c:pt idx="19">
                    <c:v>Thet Kae Pyin </c:v>
                  </c:pt>
                  <c:pt idx="20">
                    <c:v>Thet Kae Pyin Village (IDPs in host family)</c:v>
                  </c:pt>
                  <c:pt idx="21">
                    <c:v>Khaung Doke Khar 2 (Hmanzi)</c:v>
                  </c:pt>
                  <c:pt idx="22">
                    <c:v>Khaung Doke Khar 1</c:v>
                  </c:pt>
                  <c:pt idx="23">
                    <c:v>Phwe Yar Kone (Say Tha Mar Gyi)</c:v>
                  </c:pt>
                  <c:pt idx="24">
                    <c:v>Baw Du Pha Village (IDP in host families)</c:v>
                  </c:pt>
                </c:lvl>
              </c:multiLvlStrCache>
            </c:multiLvlStrRef>
          </c:cat>
          <c:val>
            <c:numRef>
              <c:f>'Tracking Dashboard'!$P$5:$P$55</c:f>
              <c:numCache>
                <c:formatCode>General</c:formatCode>
                <c:ptCount val="25"/>
                <c:pt idx="0">
                  <c:v>1284.8370370370371</c:v>
                </c:pt>
                <c:pt idx="1">
                  <c:v>2111</c:v>
                </c:pt>
                <c:pt idx="2">
                  <c:v>4892</c:v>
                </c:pt>
                <c:pt idx="3">
                  <c:v>6936</c:v>
                </c:pt>
                <c:pt idx="4">
                  <c:v>11625</c:v>
                </c:pt>
                <c:pt idx="5">
                  <c:v>3360</c:v>
                </c:pt>
                <c:pt idx="6">
                  <c:v>979</c:v>
                </c:pt>
                <c:pt idx="7">
                  <c:v>6042</c:v>
                </c:pt>
                <c:pt idx="8">
                  <c:v>3486</c:v>
                </c:pt>
                <c:pt idx="9">
                  <c:v>4645</c:v>
                </c:pt>
                <c:pt idx="10">
                  <c:v>2717.6562962962967</c:v>
                </c:pt>
                <c:pt idx="11">
                  <c:v>581</c:v>
                </c:pt>
                <c:pt idx="12">
                  <c:v>3095</c:v>
                </c:pt>
                <c:pt idx="13">
                  <c:v>13302</c:v>
                </c:pt>
                <c:pt idx="14">
                  <c:v>11487</c:v>
                </c:pt>
                <c:pt idx="15">
                  <c:v>11564</c:v>
                </c:pt>
                <c:pt idx="16">
                  <c:v>2805</c:v>
                </c:pt>
                <c:pt idx="17">
                  <c:v>2920</c:v>
                </c:pt>
                <c:pt idx="18">
                  <c:v>6016</c:v>
                </c:pt>
                <c:pt idx="19">
                  <c:v>5950</c:v>
                </c:pt>
                <c:pt idx="20">
                  <c:v>1670</c:v>
                </c:pt>
                <c:pt idx="21">
                  <c:v>2186</c:v>
                </c:pt>
                <c:pt idx="22">
                  <c:v>2248</c:v>
                </c:pt>
                <c:pt idx="23">
                  <c:v>2285</c:v>
                </c:pt>
                <c:pt idx="24">
                  <c:v>114</c:v>
                </c:pt>
              </c:numCache>
            </c:numRef>
          </c:val>
          <c:extLst>
            <c:ext xmlns:c16="http://schemas.microsoft.com/office/drawing/2014/chart" uri="{C3380CC4-5D6E-409C-BE32-E72D297353CC}">
              <c16:uniqueId val="{00000002-FFE7-4630-AA87-8BB156FFBC38}"/>
            </c:ext>
          </c:extLst>
        </c:ser>
        <c:dLbls>
          <c:showLegendKey val="0"/>
          <c:showVal val="0"/>
          <c:showCatName val="0"/>
          <c:showSerName val="0"/>
          <c:showPercent val="0"/>
          <c:showBubbleSize val="0"/>
        </c:dLbls>
        <c:gapWidth val="100"/>
        <c:axId val="354336040"/>
        <c:axId val="354339176"/>
      </c:barChart>
      <c:catAx>
        <c:axId val="35433604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54339176"/>
        <c:crosses val="autoZero"/>
        <c:auto val="1"/>
        <c:lblAlgn val="ctr"/>
        <c:lblOffset val="100"/>
        <c:noMultiLvlLbl val="0"/>
      </c:catAx>
      <c:valAx>
        <c:axId val="354339176"/>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54336040"/>
        <c:crosses val="autoZero"/>
        <c:crossBetween val="between"/>
      </c:valAx>
      <c:spPr>
        <a:noFill/>
        <a:ln>
          <a:noFill/>
        </a:ln>
        <a:effectLst/>
      </c:spPr>
    </c:plotArea>
    <c:legend>
      <c:legendPos val="r"/>
      <c:layout>
        <c:manualLayout>
          <c:xMode val="edge"/>
          <c:yMode val="edge"/>
          <c:x val="0.7116369818760272"/>
          <c:y val="0.33456621547684184"/>
          <c:w val="0.28836305215211328"/>
          <c:h val="0.16767514332611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Hygiene Coverage </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col"/>
        <c:grouping val="percentStacked"/>
        <c:varyColors val="0"/>
        <c:ser>
          <c:idx val="0"/>
          <c:order val="0"/>
          <c:tx>
            <c:strRef>
              <c:f>Analysis!$I$199</c:f>
              <c:strCache>
                <c:ptCount val="1"/>
                <c:pt idx="0">
                  <c:v>Covered</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Analysis!$H$200:$H$202</c:f>
              <c:strCache>
                <c:ptCount val="3"/>
                <c:pt idx="0">
                  <c:v>#HH reached by regular dedicated hygiene promotion</c:v>
                </c:pt>
                <c:pt idx="1">
                  <c:v># HH received soaps</c:v>
                </c:pt>
                <c:pt idx="2">
                  <c:v># HH received Sanitary Pads</c:v>
                </c:pt>
              </c:strCache>
            </c:strRef>
          </c:cat>
          <c:val>
            <c:numRef>
              <c:f>Analysis!$I$200:$I$202</c:f>
              <c:numCache>
                <c:formatCode>_(* #,##0_);_(* \(#,##0\);_(* "-"??_);_(@_)</c:formatCode>
                <c:ptCount val="3"/>
                <c:pt idx="0">
                  <c:v>11760.6</c:v>
                </c:pt>
                <c:pt idx="1">
                  <c:v>26657</c:v>
                </c:pt>
                <c:pt idx="2">
                  <c:v>27322</c:v>
                </c:pt>
              </c:numCache>
            </c:numRef>
          </c:val>
          <c:extLst>
            <c:ext xmlns:c16="http://schemas.microsoft.com/office/drawing/2014/chart" uri="{C3380CC4-5D6E-409C-BE32-E72D297353CC}">
              <c16:uniqueId val="{00000000-F5FF-4313-84A4-722007FD5F1B}"/>
            </c:ext>
          </c:extLst>
        </c:ser>
        <c:ser>
          <c:idx val="1"/>
          <c:order val="1"/>
          <c:tx>
            <c:strRef>
              <c:f>Analysis!$J$199</c:f>
              <c:strCache>
                <c:ptCount val="1"/>
                <c:pt idx="0">
                  <c:v>Gap</c:v>
                </c:pt>
              </c:strCache>
            </c:strRef>
          </c:tx>
          <c:spPr>
            <a:gradFill rotWithShape="1">
              <a:gsLst>
                <a:gs pos="0">
                  <a:schemeClr val="accent6">
                    <a:tint val="77000"/>
                    <a:satMod val="103000"/>
                    <a:lumMod val="102000"/>
                    <a:tint val="94000"/>
                  </a:schemeClr>
                </a:gs>
                <a:gs pos="50000">
                  <a:schemeClr val="accent6">
                    <a:tint val="77000"/>
                    <a:satMod val="110000"/>
                    <a:lumMod val="100000"/>
                    <a:shade val="100000"/>
                  </a:schemeClr>
                </a:gs>
                <a:gs pos="100000">
                  <a:schemeClr val="accent6">
                    <a:tint val="77000"/>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Analysis!$H$200:$H$202</c:f>
              <c:strCache>
                <c:ptCount val="3"/>
                <c:pt idx="0">
                  <c:v>#HH reached by regular dedicated hygiene promotion</c:v>
                </c:pt>
                <c:pt idx="1">
                  <c:v># HH received soaps</c:v>
                </c:pt>
                <c:pt idx="2">
                  <c:v># HH received Sanitary Pads</c:v>
                </c:pt>
              </c:strCache>
            </c:strRef>
          </c:cat>
          <c:val>
            <c:numRef>
              <c:f>Analysis!$J$200:$J$202</c:f>
              <c:numCache>
                <c:formatCode>_(* #,##0_);_(* \(#,##0\);_(* "-"??_);_(@_)</c:formatCode>
                <c:ptCount val="3"/>
                <c:pt idx="0">
                  <c:v>11937.4</c:v>
                </c:pt>
                <c:pt idx="1">
                  <c:v>-2959</c:v>
                </c:pt>
                <c:pt idx="2">
                  <c:v>-3624</c:v>
                </c:pt>
              </c:numCache>
            </c:numRef>
          </c:val>
          <c:extLst>
            <c:ext xmlns:c16="http://schemas.microsoft.com/office/drawing/2014/chart" uri="{C3380CC4-5D6E-409C-BE32-E72D297353CC}">
              <c16:uniqueId val="{00000001-F5FF-4313-84A4-722007FD5F1B}"/>
            </c:ext>
          </c:extLst>
        </c:ser>
        <c:dLbls>
          <c:showLegendKey val="0"/>
          <c:showVal val="0"/>
          <c:showCatName val="0"/>
          <c:showSerName val="0"/>
          <c:showPercent val="0"/>
          <c:showBubbleSize val="0"/>
        </c:dLbls>
        <c:gapWidth val="150"/>
        <c:overlap val="100"/>
        <c:axId val="392748568"/>
        <c:axId val="392749352"/>
      </c:barChart>
      <c:catAx>
        <c:axId val="3927485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2749352"/>
        <c:crosses val="autoZero"/>
        <c:auto val="1"/>
        <c:lblAlgn val="ctr"/>
        <c:lblOffset val="100"/>
        <c:noMultiLvlLbl val="0"/>
      </c:catAx>
      <c:valAx>
        <c:axId val="392749352"/>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2748568"/>
        <c:crosses val="autoZero"/>
        <c:crossBetween val="between"/>
        <c:majorUnit val="0.2"/>
      </c:valAx>
      <c:spPr>
        <a:noFill/>
        <a:ln>
          <a:noFill/>
        </a:ln>
        <a:effectLst/>
      </c:spPr>
    </c:plotArea>
    <c:legend>
      <c:legendPos val="b"/>
      <c:legendEntry>
        <c:idx val="1"/>
        <c:txPr>
          <a:bodyPr rot="0" spcFirstLastPara="1" vertOverflow="ellipsis" vert="horz" wrap="square" anchor="ctr" anchorCtr="1"/>
          <a:lstStyle/>
          <a:p>
            <a:pPr>
              <a:defRPr sz="1200" b="0" i="0" u="none" strike="noStrike" kern="1200" baseline="0">
                <a:solidFill>
                  <a:srgbClr val="44546A"/>
                </a:solidFill>
                <a:latin typeface="+mn-lt"/>
                <a:ea typeface="+mn-ea"/>
                <a:cs typeface="+mn-cs"/>
              </a:defRPr>
            </a:pPr>
            <a:endParaRPr lang="en-US"/>
          </a:p>
        </c:txPr>
      </c:legendEntry>
      <c:layout>
        <c:manualLayout>
          <c:xMode val="edge"/>
          <c:yMode val="edge"/>
          <c:x val="0.38313978947189414"/>
          <c:y val="0.87242578432208606"/>
          <c:w val="0.23345186939352686"/>
          <c:h val="9.824999217078923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Effective solid waste management system in place Rakhine</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3"/>
          <c:order val="0"/>
          <c:tx>
            <c:strRef>
              <c:f>Analysis!$B$149</c:f>
              <c:strCache>
                <c:ptCount val="1"/>
                <c:pt idx="0">
                  <c:v>Rakhine</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46-5874-4861-9CAD-8C2A6D7ECFC1}"/>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47-5874-4861-9CAD-8C2A6D7ECFC1}"/>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46-5874-4861-9CAD-8C2A6D7ECFC1}"/>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47-5874-4861-9CAD-8C2A6D7ECFC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Analysis!$C$148:$D$148</c:f>
              <c:strCache>
                <c:ptCount val="2"/>
                <c:pt idx="0">
                  <c:v>Yes</c:v>
                </c:pt>
                <c:pt idx="1">
                  <c:v>No</c:v>
                </c:pt>
              </c:strCache>
            </c:strRef>
          </c:cat>
          <c:val>
            <c:numRef>
              <c:f>Analysis!$C$149:$D$149</c:f>
              <c:numCache>
                <c:formatCode>General</c:formatCode>
                <c:ptCount val="2"/>
                <c:pt idx="0">
                  <c:v>21</c:v>
                </c:pt>
                <c:pt idx="1">
                  <c:v>4</c:v>
                </c:pt>
              </c:numCache>
            </c:numRef>
          </c:val>
          <c:extLst>
            <c:ext xmlns:c16="http://schemas.microsoft.com/office/drawing/2014/chart" uri="{C3380CC4-5D6E-409C-BE32-E72D297353CC}">
              <c16:uniqueId val="{00000045-5874-4861-9CAD-8C2A6D7ECFC1}"/>
            </c:ext>
          </c:extLst>
        </c:ser>
        <c:dLbls>
          <c:dLblPos val="bestFit"/>
          <c:showLegendKey val="0"/>
          <c:showVal val="1"/>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[20190813_Myanmar_WASH_4W_2019_Q2_Rakhine_camp_Consolidate_DRAFT.xlsx]Analysis!R_water1</c:name>
    <c:fmtId val="7"/>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b="1" i="0" baseline="0">
                <a:effectLst/>
              </a:rPr>
              <a:t>Rakhine - Water Point Coverage</a:t>
            </a:r>
            <a:endParaRPr lang="en-US" sz="1200">
              <a:effectLst/>
            </a:endParaRPr>
          </a:p>
          <a:p>
            <a:pPr>
              <a:defRPr sz="1200"/>
            </a:pPr>
            <a:r>
              <a:rPr lang="en-US" sz="1200" b="1" i="0" baseline="0">
                <a:effectLst/>
              </a:rPr>
              <a:t>in active camps &amp; Villages</a:t>
            </a:r>
            <a:endParaRPr lang="en-US" sz="1200">
              <a:effectLst/>
            </a:endParaRPr>
          </a:p>
        </c:rich>
      </c:tx>
      <c:layout>
        <c:manualLayout>
          <c:xMode val="edge"/>
          <c:yMode val="edge"/>
          <c:x val="0.15056128293241694"/>
          <c:y val="1.666666666666666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Analysis!$C$28</c:f>
              <c:strCache>
                <c:ptCount val="1"/>
                <c:pt idx="0">
                  <c:v>Coverage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Analysis!$B$29</c:f>
              <c:strCache>
                <c:ptCount val="1"/>
                <c:pt idx="0">
                  <c:v>Camp</c:v>
                </c:pt>
              </c:strCache>
            </c:strRef>
          </c:cat>
          <c:val>
            <c:numRef>
              <c:f>Analysis!$C$29</c:f>
              <c:numCache>
                <c:formatCode>0</c:formatCode>
                <c:ptCount val="1"/>
                <c:pt idx="0">
                  <c:v>228.60298666666665</c:v>
                </c:pt>
              </c:numCache>
            </c:numRef>
          </c:val>
          <c:extLst>
            <c:ext xmlns:c16="http://schemas.microsoft.com/office/drawing/2014/chart" uri="{C3380CC4-5D6E-409C-BE32-E72D297353CC}">
              <c16:uniqueId val="{00000000-8B68-4DA6-B1F8-363AA8382CF6}"/>
            </c:ext>
          </c:extLst>
        </c:ser>
        <c:ser>
          <c:idx val="1"/>
          <c:order val="1"/>
          <c:tx>
            <c:strRef>
              <c:f>Analysis!$D$28</c:f>
              <c:strCache>
                <c:ptCount val="1"/>
                <c:pt idx="0">
                  <c:v>Gap</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Analysis!$B$29</c:f>
              <c:strCache>
                <c:ptCount val="1"/>
                <c:pt idx="0">
                  <c:v>Camp</c:v>
                </c:pt>
              </c:strCache>
            </c:strRef>
          </c:cat>
          <c:val>
            <c:numRef>
              <c:f>Analysis!$D$29</c:f>
              <c:numCache>
                <c:formatCode>0</c:formatCode>
                <c:ptCount val="1"/>
                <c:pt idx="0">
                  <c:v>11.963013333333331</c:v>
                </c:pt>
              </c:numCache>
            </c:numRef>
          </c:val>
          <c:extLst>
            <c:ext xmlns:c16="http://schemas.microsoft.com/office/drawing/2014/chart" uri="{C3380CC4-5D6E-409C-BE32-E72D297353CC}">
              <c16:uniqueId val="{00000001-8B68-4DA6-B1F8-363AA8382CF6}"/>
            </c:ext>
          </c:extLst>
        </c:ser>
        <c:dLbls>
          <c:dLblPos val="ctr"/>
          <c:showLegendKey val="0"/>
          <c:showVal val="1"/>
          <c:showCatName val="0"/>
          <c:showSerName val="0"/>
          <c:showPercent val="0"/>
          <c:showBubbleSize val="0"/>
        </c:dLbls>
        <c:gapWidth val="150"/>
        <c:overlap val="100"/>
        <c:axId val="392748176"/>
        <c:axId val="392754448"/>
      </c:barChart>
      <c:catAx>
        <c:axId val="39274817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2754448"/>
        <c:crosses val="autoZero"/>
        <c:auto val="1"/>
        <c:lblAlgn val="ctr"/>
        <c:lblOffset val="100"/>
        <c:noMultiLvlLbl val="0"/>
      </c:catAx>
      <c:valAx>
        <c:axId val="39275444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27481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900"/>
              <a:t>% of Sites</a:t>
            </a:r>
            <a:r>
              <a:rPr lang="en-US" sz="900" baseline="0"/>
              <a:t> which made w</a:t>
            </a:r>
            <a:r>
              <a:rPr lang="en-US" sz="900"/>
              <a:t>ater quality test</a:t>
            </a:r>
            <a:r>
              <a:rPr lang="en-US" sz="900" baseline="0"/>
              <a:t> </a:t>
            </a:r>
          </a:p>
          <a:p>
            <a:pPr>
              <a:defRPr sz="900"/>
            </a:pPr>
            <a:r>
              <a:rPr lang="en-US" sz="900" baseline="0"/>
              <a:t>in Rakhine</a:t>
            </a:r>
            <a:endParaRPr lang="en-US" sz="900"/>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autoTitleDeleted val="0"/>
    <c:plotArea>
      <c:layout/>
      <c:pieChart>
        <c:varyColors val="1"/>
        <c:ser>
          <c:idx val="1"/>
          <c:order val="1"/>
          <c:tx>
            <c:strRef>
              <c:f>Analysis!$B$62</c:f>
              <c:strCache>
                <c:ptCount val="1"/>
                <c:pt idx="0">
                  <c:v>Rakhine</c:v>
                </c:pt>
              </c:strCache>
              <c:extLst xmlns:c15="http://schemas.microsoft.com/office/drawing/2012/chart"/>
            </c:strRef>
          </c:tx>
          <c:dPt>
            <c:idx val="0"/>
            <c:bubble3D val="0"/>
            <c:spPr>
              <a:solidFill>
                <a:schemeClr val="accent1">
                  <a:lumMod val="40000"/>
                  <a:lumOff val="60000"/>
                </a:schemeClr>
              </a:solidFill>
              <a:ln>
                <a:noFill/>
              </a:ln>
              <a:effectLst/>
            </c:spPr>
            <c:extLst>
              <c:ext xmlns:c16="http://schemas.microsoft.com/office/drawing/2014/chart" uri="{C3380CC4-5D6E-409C-BE32-E72D297353CC}">
                <c16:uniqueId val="{00000001-FD78-4584-8A9F-AE81D870BE41}"/>
              </c:ext>
            </c:extLst>
          </c:dPt>
          <c:dPt>
            <c:idx val="1"/>
            <c:bubble3D val="0"/>
            <c:spPr>
              <a:solidFill>
                <a:srgbClr val="0070C0"/>
              </a:solidFill>
              <a:ln>
                <a:noFill/>
              </a:ln>
              <a:effectLst/>
            </c:spPr>
            <c:extLst>
              <c:ext xmlns:c16="http://schemas.microsoft.com/office/drawing/2014/chart" uri="{C3380CC4-5D6E-409C-BE32-E72D297353CC}">
                <c16:uniqueId val="{00000003-FD78-4584-8A9F-AE81D870BE41}"/>
              </c:ext>
            </c:extLst>
          </c:dPt>
          <c:dLbls>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3-FD78-4584-8A9F-AE81D870BE41}"/>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Analysis!$C$60:$D$60</c:f>
              <c:strCache>
                <c:ptCount val="2"/>
                <c:pt idx="0">
                  <c:v>No Test</c:v>
                </c:pt>
                <c:pt idx="1">
                  <c:v>Tested</c:v>
                </c:pt>
              </c:strCache>
              <c:extLst xmlns:c15="http://schemas.microsoft.com/office/drawing/2012/chart"/>
            </c:strRef>
          </c:cat>
          <c:val>
            <c:numRef>
              <c:f>Analysis!$C$62:$D$62</c:f>
              <c:numCache>
                <c:formatCode>General</c:formatCode>
                <c:ptCount val="2"/>
                <c:pt idx="0">
                  <c:v>9</c:v>
                </c:pt>
                <c:pt idx="1">
                  <c:v>16</c:v>
                </c:pt>
              </c:numCache>
              <c:extLst xmlns:c15="http://schemas.microsoft.com/office/drawing/2012/chart"/>
            </c:numRef>
          </c:val>
          <c:extLst>
            <c:ext xmlns:c16="http://schemas.microsoft.com/office/drawing/2014/chart" uri="{C3380CC4-5D6E-409C-BE32-E72D297353CC}">
              <c16:uniqueId val="{00000004-FD78-4584-8A9F-AE81D870BE41}"/>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Analysis!$B$61</c15:sqref>
                        </c15:formulaRef>
                      </c:ext>
                    </c:extLst>
                    <c:strCache>
                      <c:ptCount val="1"/>
                    </c:strCache>
                  </c:strRef>
                </c:tx>
                <c:dPt>
                  <c:idx val="0"/>
                  <c:bubble3D val="0"/>
                  <c:spPr>
                    <a:solidFill>
                      <a:schemeClr val="accent1">
                        <a:lumMod val="40000"/>
                        <a:lumOff val="60000"/>
                      </a:schemeClr>
                    </a:solidFill>
                    <a:ln>
                      <a:noFill/>
                    </a:ln>
                    <a:effectLst/>
                  </c:spPr>
                  <c:extLst>
                    <c:ext xmlns:c16="http://schemas.microsoft.com/office/drawing/2014/chart" uri="{C3380CC4-5D6E-409C-BE32-E72D297353CC}">
                      <c16:uniqueId val="{00000006-FD78-4584-8A9F-AE81D870BE41}"/>
                    </c:ext>
                  </c:extLst>
                </c:dPt>
                <c:dPt>
                  <c:idx val="1"/>
                  <c:bubble3D val="0"/>
                  <c:spPr>
                    <a:solidFill>
                      <a:srgbClr val="0070C0"/>
                    </a:solidFill>
                    <a:ln>
                      <a:noFill/>
                    </a:ln>
                    <a:effectLst/>
                  </c:spPr>
                  <c:extLst>
                    <c:ext xmlns:c16="http://schemas.microsoft.com/office/drawing/2014/chart" uri="{C3380CC4-5D6E-409C-BE32-E72D297353CC}">
                      <c16:uniqueId val="{00000008-FD78-4584-8A9F-AE81D870BE41}"/>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6-FD78-4584-8A9F-AE81D870BE41}"/>
                      </c:ext>
                    </c:extLst>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8-FD78-4584-8A9F-AE81D870BE4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uri="{CE6537A1-D6FC-4f65-9D91-7224C49458BB}"/>
                  </c:extLst>
                </c:dLbls>
                <c:cat>
                  <c:strRef>
                    <c:extLst>
                      <c:ext uri="{02D57815-91ED-43cb-92C2-25804820EDAC}">
                        <c15:formulaRef>
                          <c15:sqref>Analysis!$C$60:$D$60</c15:sqref>
                        </c15:formulaRef>
                      </c:ext>
                    </c:extLst>
                    <c:strCache>
                      <c:ptCount val="2"/>
                      <c:pt idx="0">
                        <c:v>No Test</c:v>
                      </c:pt>
                      <c:pt idx="1">
                        <c:v>Tested</c:v>
                      </c:pt>
                    </c:strCache>
                  </c:strRef>
                </c:cat>
                <c:val>
                  <c:numRef>
                    <c:extLst>
                      <c:ext uri="{02D57815-91ED-43cb-92C2-25804820EDAC}">
                        <c15:formulaRef>
                          <c15:sqref>Analysis!$C$61:$D$61</c15:sqref>
                        </c15:formulaRef>
                      </c:ext>
                    </c:extLst>
                    <c:numCache>
                      <c:formatCode>General</c:formatCode>
                      <c:ptCount val="2"/>
                    </c:numCache>
                  </c:numRef>
                </c:val>
                <c:extLst>
                  <c:ext xmlns:c16="http://schemas.microsoft.com/office/drawing/2014/chart" uri="{C3380CC4-5D6E-409C-BE32-E72D297353CC}">
                    <c16:uniqueId val="{00000009-FD78-4584-8A9F-AE81D870BE41}"/>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Analysis!$B$63</c15:sqref>
                        </c15:formulaRef>
                      </c:ext>
                    </c:extLst>
                    <c:strCache>
                      <c:ptCount val="1"/>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5="http://schemas.microsoft.com/office/drawing/2012/chart">
                    <c:ext xmlns:c16="http://schemas.microsoft.com/office/drawing/2014/chart" uri="{C3380CC4-5D6E-409C-BE32-E72D297353CC}">
                      <c16:uniqueId val="{0000000B-FD78-4584-8A9F-AE81D870BE4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5="http://schemas.microsoft.com/office/drawing/2012/chart">
                    <c:ext xmlns:c16="http://schemas.microsoft.com/office/drawing/2014/chart" uri="{C3380CC4-5D6E-409C-BE32-E72D297353CC}">
                      <c16:uniqueId val="{0000000D-FD78-4584-8A9F-AE81D870BE41}"/>
                    </c:ext>
                  </c:extLst>
                </c:dPt>
                <c:cat>
                  <c:strRef>
                    <c:extLst xmlns:c15="http://schemas.microsoft.com/office/drawing/2012/chart">
                      <c:ext xmlns:c15="http://schemas.microsoft.com/office/drawing/2012/chart" uri="{02D57815-91ED-43cb-92C2-25804820EDAC}">
                        <c15:formulaRef>
                          <c15:sqref>Analysis!$C$60:$D$60</c15:sqref>
                        </c15:formulaRef>
                      </c:ext>
                    </c:extLst>
                    <c:strCache>
                      <c:ptCount val="2"/>
                      <c:pt idx="0">
                        <c:v>No Test</c:v>
                      </c:pt>
                      <c:pt idx="1">
                        <c:v>Tested</c:v>
                      </c:pt>
                    </c:strCache>
                  </c:strRef>
                </c:cat>
                <c:val>
                  <c:numRef>
                    <c:extLst xmlns:c15="http://schemas.microsoft.com/office/drawing/2012/chart">
                      <c:ext xmlns:c15="http://schemas.microsoft.com/office/drawing/2012/chart" uri="{02D57815-91ED-43cb-92C2-25804820EDAC}">
                        <c15:formulaRef>
                          <c15:sqref>Analysis!$C$63:$D$63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E-FD78-4584-8A9F-AE81D870BE41}"/>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withinLinear" id="15">
  <a:schemeClr val="accent2"/>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30.xml><?xml version="1.0" encoding="utf-8"?>
<cs:colorStyle xmlns:cs="http://schemas.microsoft.com/office/drawing/2012/chartStyle" xmlns:a="http://schemas.openxmlformats.org/drawingml/2006/main" meth="withinLinear" id="19">
  <a:schemeClr val="accent6"/>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withinLinear" id="14">
  <a:schemeClr val="accent1"/>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withinLinear" id="15">
  <a:schemeClr val="accent2"/>
</cs:colorStyle>
</file>

<file path=xl/charts/colors41.xml><?xml version="1.0" encoding="utf-8"?>
<cs:colorStyle xmlns:cs="http://schemas.microsoft.com/office/drawing/2012/chartStyle" xmlns:a="http://schemas.openxmlformats.org/drawingml/2006/main" meth="withinLinear" id="15">
  <a:schemeClr val="accent2"/>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withinLinear" id="14">
  <a:schemeClr val="accent1"/>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0.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8.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9.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0.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8.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9.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0.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2.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chart" Target="../charts/chart18.xml"/><Relationship Id="rId18" Type="http://schemas.openxmlformats.org/officeDocument/2006/relationships/chart" Target="../charts/chart23.xml"/><Relationship Id="rId3" Type="http://schemas.openxmlformats.org/officeDocument/2006/relationships/chart" Target="../charts/chart8.xml"/><Relationship Id="rId21" Type="http://schemas.openxmlformats.org/officeDocument/2006/relationships/chart" Target="../charts/chart26.xml"/><Relationship Id="rId7" Type="http://schemas.openxmlformats.org/officeDocument/2006/relationships/chart" Target="../charts/chart12.xml"/><Relationship Id="rId12" Type="http://schemas.openxmlformats.org/officeDocument/2006/relationships/chart" Target="../charts/chart17.xml"/><Relationship Id="rId17" Type="http://schemas.openxmlformats.org/officeDocument/2006/relationships/chart" Target="../charts/chart22.xml"/><Relationship Id="rId2" Type="http://schemas.openxmlformats.org/officeDocument/2006/relationships/chart" Target="../charts/chart7.xml"/><Relationship Id="rId16" Type="http://schemas.openxmlformats.org/officeDocument/2006/relationships/chart" Target="../charts/chart21.xml"/><Relationship Id="rId20" Type="http://schemas.openxmlformats.org/officeDocument/2006/relationships/chart" Target="../charts/chart25.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5" Type="http://schemas.openxmlformats.org/officeDocument/2006/relationships/chart" Target="../charts/chart20.xml"/><Relationship Id="rId23" Type="http://schemas.openxmlformats.org/officeDocument/2006/relationships/chart" Target="../charts/chart28.xml"/><Relationship Id="rId10" Type="http://schemas.openxmlformats.org/officeDocument/2006/relationships/chart" Target="../charts/chart15.xml"/><Relationship Id="rId19" Type="http://schemas.openxmlformats.org/officeDocument/2006/relationships/chart" Target="../charts/chart24.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chart" Target="../charts/chart19.xml"/><Relationship Id="rId22" Type="http://schemas.openxmlformats.org/officeDocument/2006/relationships/chart" Target="../charts/chart2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8.xml.rels><?xml version="1.0" encoding="UTF-8" standalone="yes"?>
<Relationships xmlns="http://schemas.openxmlformats.org/package/2006/relationships"><Relationship Id="rId8" Type="http://schemas.openxmlformats.org/officeDocument/2006/relationships/chart" Target="../charts/chart35.xml"/><Relationship Id="rId13" Type="http://schemas.openxmlformats.org/officeDocument/2006/relationships/chart" Target="../charts/chart40.xml"/><Relationship Id="rId18" Type="http://schemas.openxmlformats.org/officeDocument/2006/relationships/chart" Target="../charts/chart45.xml"/><Relationship Id="rId3" Type="http://schemas.openxmlformats.org/officeDocument/2006/relationships/chart" Target="../charts/chart31.xml"/><Relationship Id="rId21" Type="http://schemas.openxmlformats.org/officeDocument/2006/relationships/chart" Target="../charts/chart48.xml"/><Relationship Id="rId7" Type="http://schemas.openxmlformats.org/officeDocument/2006/relationships/chart" Target="../charts/chart34.xml"/><Relationship Id="rId12" Type="http://schemas.openxmlformats.org/officeDocument/2006/relationships/chart" Target="../charts/chart39.xml"/><Relationship Id="rId17" Type="http://schemas.openxmlformats.org/officeDocument/2006/relationships/chart" Target="../charts/chart44.xml"/><Relationship Id="rId2" Type="http://schemas.openxmlformats.org/officeDocument/2006/relationships/chart" Target="../charts/chart30.xml"/><Relationship Id="rId16" Type="http://schemas.openxmlformats.org/officeDocument/2006/relationships/chart" Target="../charts/chart43.xml"/><Relationship Id="rId20" Type="http://schemas.openxmlformats.org/officeDocument/2006/relationships/chart" Target="../charts/chart47.xml"/><Relationship Id="rId1" Type="http://schemas.openxmlformats.org/officeDocument/2006/relationships/image" Target="../media/image2.png"/><Relationship Id="rId6" Type="http://schemas.openxmlformats.org/officeDocument/2006/relationships/chart" Target="../charts/chart33.xml"/><Relationship Id="rId11" Type="http://schemas.openxmlformats.org/officeDocument/2006/relationships/chart" Target="../charts/chart38.xml"/><Relationship Id="rId24" Type="http://schemas.openxmlformats.org/officeDocument/2006/relationships/chart" Target="../charts/chart50.xml"/><Relationship Id="rId5" Type="http://schemas.openxmlformats.org/officeDocument/2006/relationships/chart" Target="../charts/chart32.xml"/><Relationship Id="rId15" Type="http://schemas.openxmlformats.org/officeDocument/2006/relationships/chart" Target="../charts/chart42.xml"/><Relationship Id="rId23" Type="http://schemas.openxmlformats.org/officeDocument/2006/relationships/hyperlink" Target="#'AAP-community Feedback'!A2"/><Relationship Id="rId10" Type="http://schemas.openxmlformats.org/officeDocument/2006/relationships/chart" Target="../charts/chart37.xml"/><Relationship Id="rId19" Type="http://schemas.openxmlformats.org/officeDocument/2006/relationships/chart" Target="../charts/chart46.xml"/><Relationship Id="rId4" Type="http://schemas.openxmlformats.org/officeDocument/2006/relationships/hyperlink" Target="#Analysis!A278"/><Relationship Id="rId9" Type="http://schemas.openxmlformats.org/officeDocument/2006/relationships/chart" Target="../charts/chart36.xml"/><Relationship Id="rId14" Type="http://schemas.openxmlformats.org/officeDocument/2006/relationships/chart" Target="../charts/chart41.xml"/><Relationship Id="rId22" Type="http://schemas.openxmlformats.org/officeDocument/2006/relationships/chart" Target="../charts/chart49.xml"/></Relationships>
</file>

<file path=xl/drawings/drawing1.xml><?xml version="1.0" encoding="utf-8"?>
<xdr:wsDr xmlns:xdr="http://schemas.openxmlformats.org/drawingml/2006/spreadsheetDrawing" xmlns:a="http://schemas.openxmlformats.org/drawingml/2006/main">
  <xdr:oneCellAnchor>
    <xdr:from>
      <xdr:col>0</xdr:col>
      <xdr:colOff>561975</xdr:colOff>
      <xdr:row>68</xdr:row>
      <xdr:rowOff>561975</xdr:rowOff>
    </xdr:from>
    <xdr:ext cx="7246792" cy="2009775"/>
    <xdr:pic>
      <xdr:nvPicPr>
        <xdr:cNvPr id="2" name="Picture 1">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41" t="75523" r="23568" b="3741"/>
        <a:stretch/>
      </xdr:blipFill>
      <xdr:spPr bwMode="auto">
        <a:xfrm>
          <a:off x="561975" y="44538900"/>
          <a:ext cx="7246792" cy="20097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11</xdr:col>
      <xdr:colOff>296335</xdr:colOff>
      <xdr:row>2</xdr:row>
      <xdr:rowOff>161396</xdr:rowOff>
    </xdr:from>
    <xdr:to>
      <xdr:col>26</xdr:col>
      <xdr:colOff>10583</xdr:colOff>
      <xdr:row>491</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476251</xdr:colOff>
      <xdr:row>11</xdr:row>
      <xdr:rowOff>41274</xdr:rowOff>
    </xdr:from>
    <xdr:to>
      <xdr:col>8</xdr:col>
      <xdr:colOff>203202</xdr:colOff>
      <xdr:row>28</xdr:row>
      <xdr:rowOff>10582</xdr:rowOff>
    </xdr:to>
    <mc:AlternateContent xmlns:mc="http://schemas.openxmlformats.org/markup-compatibility/2006" xmlns:a14="http://schemas.microsoft.com/office/drawing/2010/main">
      <mc:Choice Requires="a14">
        <xdr:graphicFrame macro="">
          <xdr:nvGraphicFramePr>
            <xdr:cNvPr id="5" name="Township 1">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microsoft.com/office/drawing/2010/slicer">
              <sle:slicer xmlns:sle="http://schemas.microsoft.com/office/drawing/2010/slicer" name="Township 1"/>
            </a:graphicData>
          </a:graphic>
        </xdr:graphicFrame>
      </mc:Choice>
      <mc:Fallback xmlns="">
        <xdr:sp macro="" textlink="">
          <xdr:nvSpPr>
            <xdr:cNvPr id="0" name=""/>
            <xdr:cNvSpPr>
              <a:spLocks noTextEdit="1"/>
            </xdr:cNvSpPr>
          </xdr:nvSpPr>
          <xdr:spPr>
            <a:xfrm>
              <a:off x="476251" y="2390774"/>
              <a:ext cx="1822451" cy="3387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507999</xdr:colOff>
      <xdr:row>2</xdr:row>
      <xdr:rowOff>179918</xdr:rowOff>
    </xdr:from>
    <xdr:to>
      <xdr:col>11</xdr:col>
      <xdr:colOff>35275</xdr:colOff>
      <xdr:row>10</xdr:row>
      <xdr:rowOff>127000</xdr:rowOff>
    </xdr:to>
    <mc:AlternateContent xmlns:mc="http://schemas.openxmlformats.org/markup-compatibility/2006" xmlns:a14="http://schemas.microsoft.com/office/drawing/2010/main">
      <mc:Choice Requires="a14">
        <xdr:graphicFrame macro="">
          <xdr:nvGraphicFramePr>
            <xdr:cNvPr id="3" name="WASH implementing agency 1">
              <a:extLst>
                <a:ext uri="{FF2B5EF4-FFF2-40B4-BE49-F238E27FC236}">
                  <a16:creationId xmlns:a16="http://schemas.microsoft.com/office/drawing/2014/main" id="{0EE4C039-1958-4372-8494-54DA83926F1C}"/>
                </a:ext>
              </a:extLst>
            </xdr:cNvPr>
            <xdr:cNvGraphicFramePr/>
          </xdr:nvGraphicFramePr>
          <xdr:xfrm>
            <a:off x="0" y="0"/>
            <a:ext cx="0" cy="0"/>
          </xdr:xfrm>
          <a:graphic>
            <a:graphicData uri="http://schemas.microsoft.com/office/drawing/2010/slicer">
              <sle:slicer xmlns:sle="http://schemas.microsoft.com/office/drawing/2010/slicer" name="WASH implementing agency 1"/>
            </a:graphicData>
          </a:graphic>
        </xdr:graphicFrame>
      </mc:Choice>
      <mc:Fallback xmlns="">
        <xdr:sp macro="" textlink="">
          <xdr:nvSpPr>
            <xdr:cNvPr id="0" name=""/>
            <xdr:cNvSpPr>
              <a:spLocks noTextEdit="1"/>
            </xdr:cNvSpPr>
          </xdr:nvSpPr>
          <xdr:spPr>
            <a:xfrm>
              <a:off x="507999" y="719668"/>
              <a:ext cx="3686526" cy="15557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0</xdr:row>
      <xdr:rowOff>190501</xdr:rowOff>
    </xdr:from>
    <xdr:to>
      <xdr:col>7</xdr:col>
      <xdr:colOff>1028701</xdr:colOff>
      <xdr:row>32</xdr:row>
      <xdr:rowOff>95251</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238125</xdr:colOff>
      <xdr:row>0</xdr:row>
      <xdr:rowOff>200024</xdr:rowOff>
    </xdr:from>
    <xdr:to>
      <xdr:col>10</xdr:col>
      <xdr:colOff>2066925</xdr:colOff>
      <xdr:row>26</xdr:row>
      <xdr:rowOff>38099</xdr:rowOff>
    </xdr:to>
    <mc:AlternateContent xmlns:mc="http://schemas.openxmlformats.org/markup-compatibility/2006" xmlns:a14="http://schemas.microsoft.com/office/drawing/2010/main">
      <mc:Choice Requires="a14">
        <xdr:graphicFrame macro="">
          <xdr:nvGraphicFramePr>
            <xdr:cNvPr id="5" name="Township 2">
              <a:extLst>
                <a:ext uri="{FF2B5EF4-FFF2-40B4-BE49-F238E27FC236}">
                  <a16:creationId xmlns:a16="http://schemas.microsoft.com/office/drawing/2014/main" id="{00000000-0008-0000-0E00-000005000000}"/>
                </a:ext>
              </a:extLst>
            </xdr:cNvPr>
            <xdr:cNvGraphicFramePr/>
          </xdr:nvGraphicFramePr>
          <xdr:xfrm>
            <a:off x="0" y="0"/>
            <a:ext cx="0" cy="0"/>
          </xdr:xfrm>
          <a:graphic>
            <a:graphicData uri="http://schemas.microsoft.com/office/drawing/2010/slicer">
              <sle:slicer xmlns:sle="http://schemas.microsoft.com/office/drawing/2010/slicer" name="Township 2"/>
            </a:graphicData>
          </a:graphic>
        </xdr:graphicFrame>
      </mc:Choice>
      <mc:Fallback xmlns="">
        <xdr:sp macro="" textlink="">
          <xdr:nvSpPr>
            <xdr:cNvPr id="0" name=""/>
            <xdr:cNvSpPr>
              <a:spLocks noTextEdit="1"/>
            </xdr:cNvSpPr>
          </xdr:nvSpPr>
          <xdr:spPr>
            <a:xfrm>
              <a:off x="12382500" y="200024"/>
              <a:ext cx="1828800" cy="5038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114300</xdr:colOff>
      <xdr:row>1</xdr:row>
      <xdr:rowOff>19051</xdr:rowOff>
    </xdr:from>
    <xdr:to>
      <xdr:col>10</xdr:col>
      <xdr:colOff>257175</xdr:colOff>
      <xdr:row>15</xdr:row>
      <xdr:rowOff>95250</xdr:rowOff>
    </xdr:to>
    <mc:AlternateContent xmlns:mc="http://schemas.openxmlformats.org/markup-compatibility/2006" xmlns:a14="http://schemas.microsoft.com/office/drawing/2010/main">
      <mc:Choice Requires="a14">
        <xdr:graphicFrame macro="">
          <xdr:nvGraphicFramePr>
            <xdr:cNvPr id="6" name="WASH implementing agency">
              <a:extLst>
                <a:ext uri="{FF2B5EF4-FFF2-40B4-BE49-F238E27FC236}">
                  <a16:creationId xmlns:a16="http://schemas.microsoft.com/office/drawing/2014/main" id="{7B7A573B-D2BE-4B3B-9E6B-BF31653DDBA1}"/>
                </a:ext>
              </a:extLst>
            </xdr:cNvPr>
            <xdr:cNvGraphicFramePr/>
          </xdr:nvGraphicFramePr>
          <xdr:xfrm>
            <a:off x="0" y="0"/>
            <a:ext cx="0" cy="0"/>
          </xdr:xfrm>
          <a:graphic>
            <a:graphicData uri="http://schemas.microsoft.com/office/drawing/2010/slicer">
              <sle:slicer xmlns:sle="http://schemas.microsoft.com/office/drawing/2010/slicer" name="WASH implementing agency"/>
            </a:graphicData>
          </a:graphic>
        </xdr:graphicFrame>
      </mc:Choice>
      <mc:Fallback xmlns="">
        <xdr:sp macro="" textlink="">
          <xdr:nvSpPr>
            <xdr:cNvPr id="0" name=""/>
            <xdr:cNvSpPr>
              <a:spLocks noTextEdit="1"/>
            </xdr:cNvSpPr>
          </xdr:nvSpPr>
          <xdr:spPr>
            <a:xfrm>
              <a:off x="8648700" y="219076"/>
              <a:ext cx="3752850" cy="28765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666750</xdr:colOff>
      <xdr:row>2</xdr:row>
      <xdr:rowOff>95250</xdr:rowOff>
    </xdr:from>
    <xdr:to>
      <xdr:col>29</xdr:col>
      <xdr:colOff>9525</xdr:colOff>
      <xdr:row>2</xdr:row>
      <xdr:rowOff>866775</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9545300" y="447675"/>
          <a:ext cx="22955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=OFFSET(Statestart_1,MATCH(</a:t>
          </a:r>
          <a:r>
            <a:rPr lang="en-US" sz="1100">
              <a:solidFill>
                <a:srgbClr val="FF0000"/>
              </a:solidFill>
            </a:rPr>
            <a:t>C5</a:t>
          </a:r>
          <a:r>
            <a:rPr lang="en-US" sz="1100"/>
            <a:t>, State_list, 0), 1,COUNTIF(State_list,</a:t>
          </a:r>
          <a:r>
            <a:rPr lang="en-US" sz="1100">
              <a:solidFill>
                <a:srgbClr val="FF0000"/>
              </a:solidFill>
            </a:rPr>
            <a:t>C5</a:t>
          </a:r>
          <a:r>
            <a:rPr lang="en-US" sz="1100"/>
            <a:t>),1)</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3463</xdr:colOff>
      <xdr:row>73</xdr:row>
      <xdr:rowOff>562841</xdr:rowOff>
    </xdr:from>
    <xdr:ext cx="7246792" cy="2009775"/>
    <xdr:pic>
      <xdr:nvPicPr>
        <xdr:cNvPr id="2" name="Picture 1">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41" t="75523" r="23568" b="3741"/>
        <a:stretch/>
      </xdr:blipFill>
      <xdr:spPr bwMode="auto">
        <a:xfrm>
          <a:off x="470188" y="47321066"/>
          <a:ext cx="7246792" cy="20097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6</xdr:col>
      <xdr:colOff>63788</xdr:colOff>
      <xdr:row>36</xdr:row>
      <xdr:rowOff>63500</xdr:rowOff>
    </xdr:from>
    <xdr:to>
      <xdr:col>13</xdr:col>
      <xdr:colOff>232832</xdr:colOff>
      <xdr:row>44</xdr:row>
      <xdr:rowOff>84666</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82491</xdr:colOff>
      <xdr:row>45</xdr:row>
      <xdr:rowOff>28228</xdr:rowOff>
    </xdr:from>
    <xdr:to>
      <xdr:col>13</xdr:col>
      <xdr:colOff>243417</xdr:colOff>
      <xdr:row>52</xdr:row>
      <xdr:rowOff>84667</xdr:rowOff>
    </xdr:to>
    <xdr:graphicFrame macro="">
      <xdr:nvGraphicFramePr>
        <xdr:cNvPr id="6" name="Chart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71908</xdr:colOff>
      <xdr:row>53</xdr:row>
      <xdr:rowOff>39143</xdr:rowOff>
    </xdr:from>
    <xdr:to>
      <xdr:col>13</xdr:col>
      <xdr:colOff>201083</xdr:colOff>
      <xdr:row>67</xdr:row>
      <xdr:rowOff>140573</xdr:rowOff>
    </xdr:to>
    <xdr:graphicFrame macro="">
      <xdr:nvGraphicFramePr>
        <xdr:cNvPr id="8" name="Chart 7">
          <a:extLst>
            <a:ext uri="{FF2B5EF4-FFF2-40B4-BE49-F238E27FC236}">
              <a16:creationId xmlns:a16="http://schemas.microsoft.com/office/drawing/2014/main" id="{00000000-0008-0000-0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399590</xdr:colOff>
      <xdr:row>73</xdr:row>
      <xdr:rowOff>25542</xdr:rowOff>
    </xdr:from>
    <xdr:to>
      <xdr:col>17</xdr:col>
      <xdr:colOff>523874</xdr:colOff>
      <xdr:row>82</xdr:row>
      <xdr:rowOff>130967</xdr:rowOff>
    </xdr:to>
    <xdr:graphicFrame macro="">
      <xdr:nvGraphicFramePr>
        <xdr:cNvPr id="16" name="Chart 15">
          <a:extLst>
            <a:ext uri="{FF2B5EF4-FFF2-40B4-BE49-F238E27FC236}">
              <a16:creationId xmlns:a16="http://schemas.microsoft.com/office/drawing/2014/main" id="{00000000-0008-0000-07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214314</xdr:colOff>
      <xdr:row>12</xdr:row>
      <xdr:rowOff>130969</xdr:rowOff>
    </xdr:from>
    <xdr:to>
      <xdr:col>24</xdr:col>
      <xdr:colOff>831850</xdr:colOff>
      <xdr:row>35</xdr:row>
      <xdr:rowOff>18519</xdr:rowOff>
    </xdr:to>
    <xdr:graphicFrame macro="">
      <xdr:nvGraphicFramePr>
        <xdr:cNvPr id="10" name="Chart 9">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952499</xdr:colOff>
      <xdr:row>79</xdr:row>
      <xdr:rowOff>1131094</xdr:rowOff>
    </xdr:from>
    <xdr:to>
      <xdr:col>17</xdr:col>
      <xdr:colOff>904874</xdr:colOff>
      <xdr:row>80</xdr:row>
      <xdr:rowOff>261938</xdr:rowOff>
    </xdr:to>
    <xdr:sp macro="" textlink="">
      <xdr:nvSpPr>
        <xdr:cNvPr id="7" name="Rectangle 6">
          <a:extLst>
            <a:ext uri="{FF2B5EF4-FFF2-40B4-BE49-F238E27FC236}">
              <a16:creationId xmlns:a16="http://schemas.microsoft.com/office/drawing/2014/main" id="{AD6DC2CE-C2EA-4672-AB1E-F5E65262E032}"/>
            </a:ext>
          </a:extLst>
        </xdr:cNvPr>
        <xdr:cNvSpPr/>
      </xdr:nvSpPr>
      <xdr:spPr>
        <a:xfrm>
          <a:off x="22014655" y="38885813"/>
          <a:ext cx="964407"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rgbClr val="0070C0"/>
              </a:solidFill>
            </a:rPr>
            <a:t>+7,264</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0.90957</cdr:x>
      <cdr:y>0.16885</cdr:y>
    </cdr:from>
    <cdr:to>
      <cdr:x>1</cdr:x>
      <cdr:y>0.21732</cdr:y>
    </cdr:to>
    <cdr:sp macro="" textlink="">
      <cdr:nvSpPr>
        <cdr:cNvPr id="2" name="Rectangle 1">
          <a:extLst xmlns:a="http://schemas.openxmlformats.org/drawingml/2006/main">
            <a:ext uri="{FF2B5EF4-FFF2-40B4-BE49-F238E27FC236}">
              <a16:creationId xmlns:a16="http://schemas.microsoft.com/office/drawing/2014/main" id="{AD6DC2CE-C2EA-4672-AB1E-F5E65262E032}"/>
            </a:ext>
          </a:extLst>
        </cdr:cNvPr>
        <cdr:cNvSpPr/>
      </cdr:nvSpPr>
      <cdr:spPr>
        <a:xfrm xmlns:a="http://schemas.openxmlformats.org/drawingml/2006/main">
          <a:off x="7065628" y="729458"/>
          <a:ext cx="702468" cy="20940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200" b="1">
              <a:solidFill>
                <a:srgbClr val="0070C0"/>
              </a:solidFill>
            </a:rPr>
            <a:t>+3,242</a:t>
          </a: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779938</xdr:colOff>
      <xdr:row>193</xdr:row>
      <xdr:rowOff>109349</xdr:rowOff>
    </xdr:from>
    <xdr:to>
      <xdr:col>11</xdr:col>
      <xdr:colOff>569027</xdr:colOff>
      <xdr:row>207</xdr:row>
      <xdr:rowOff>71249</xdr:rowOff>
    </xdr:to>
    <xdr:graphicFrame macro="">
      <xdr:nvGraphicFramePr>
        <xdr:cNvPr id="10" name="Chart 9">
          <a:extLst>
            <a:ext uri="{FF2B5EF4-FFF2-40B4-BE49-F238E27FC236}">
              <a16:creationId xmlns:a16="http://schemas.microsoft.com/office/drawing/2014/main" id="{00000000-0008-0000-08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723901</xdr:colOff>
      <xdr:row>136</xdr:row>
      <xdr:rowOff>152399</xdr:rowOff>
    </xdr:from>
    <xdr:to>
      <xdr:col>8</xdr:col>
      <xdr:colOff>771525</xdr:colOff>
      <xdr:row>148</xdr:row>
      <xdr:rowOff>180975</xdr:rowOff>
    </xdr:to>
    <xdr:graphicFrame macro="">
      <xdr:nvGraphicFramePr>
        <xdr:cNvPr id="35" name="Chart 34">
          <a:extLst>
            <a:ext uri="{FF2B5EF4-FFF2-40B4-BE49-F238E27FC236}">
              <a16:creationId xmlns:a16="http://schemas.microsoft.com/office/drawing/2014/main" id="{00000000-0008-0000-08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338137</xdr:colOff>
      <xdr:row>22</xdr:row>
      <xdr:rowOff>38100</xdr:rowOff>
    </xdr:from>
    <xdr:to>
      <xdr:col>6</xdr:col>
      <xdr:colOff>947737</xdr:colOff>
      <xdr:row>35</xdr:row>
      <xdr:rowOff>28575</xdr:rowOff>
    </xdr:to>
    <xdr:graphicFrame macro="">
      <xdr:nvGraphicFramePr>
        <xdr:cNvPr id="34" name="Chart 33">
          <a:extLst>
            <a:ext uri="{FF2B5EF4-FFF2-40B4-BE49-F238E27FC236}">
              <a16:creationId xmlns:a16="http://schemas.microsoft.com/office/drawing/2014/main" id="{00000000-0008-0000-08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223308</xdr:colOff>
      <xdr:row>51</xdr:row>
      <xdr:rowOff>102657</xdr:rowOff>
    </xdr:from>
    <xdr:to>
      <xdr:col>7</xdr:col>
      <xdr:colOff>855133</xdr:colOff>
      <xdr:row>63</xdr:row>
      <xdr:rowOff>169332</xdr:rowOff>
    </xdr:to>
    <xdr:graphicFrame macro="">
      <xdr:nvGraphicFramePr>
        <xdr:cNvPr id="42" name="Chart 41">
          <a:extLst>
            <a:ext uri="{FF2B5EF4-FFF2-40B4-BE49-F238E27FC236}">
              <a16:creationId xmlns:a16="http://schemas.microsoft.com/office/drawing/2014/main" id="{00000000-0008-0000-08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773280</xdr:colOff>
      <xdr:row>91</xdr:row>
      <xdr:rowOff>157688</xdr:rowOff>
    </xdr:from>
    <xdr:to>
      <xdr:col>16</xdr:col>
      <xdr:colOff>639930</xdr:colOff>
      <xdr:row>101</xdr:row>
      <xdr:rowOff>17435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11888955" y="18398063"/>
          <a:ext cx="7439025" cy="2212422"/>
          <a:chOff x="6724651" y="15440025"/>
          <a:chExt cx="5878827" cy="2295520"/>
        </a:xfrm>
      </xdr:grpSpPr>
      <xdr:graphicFrame macro="">
        <xdr:nvGraphicFramePr>
          <xdr:cNvPr id="8" name="Chart 7">
            <a:extLst>
              <a:ext uri="{FF2B5EF4-FFF2-40B4-BE49-F238E27FC236}">
                <a16:creationId xmlns:a16="http://schemas.microsoft.com/office/drawing/2014/main" id="{00000000-0008-0000-0800-000008000000}"/>
              </a:ext>
            </a:extLst>
          </xdr:cNvPr>
          <xdr:cNvGraphicFramePr/>
        </xdr:nvGraphicFramePr>
        <xdr:xfrm>
          <a:off x="9677398" y="15449545"/>
          <a:ext cx="2926080" cy="2286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6" name="Chart 15">
            <a:extLst>
              <a:ext uri="{FF2B5EF4-FFF2-40B4-BE49-F238E27FC236}">
                <a16:creationId xmlns:a16="http://schemas.microsoft.com/office/drawing/2014/main" id="{00000000-0008-0000-0800-000010000000}"/>
              </a:ext>
            </a:extLst>
          </xdr:cNvPr>
          <xdr:cNvGraphicFramePr/>
        </xdr:nvGraphicFramePr>
        <xdr:xfrm>
          <a:off x="6724651" y="15440025"/>
          <a:ext cx="2926080" cy="2286000"/>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5</xdr:col>
      <xdr:colOff>561975</xdr:colOff>
      <xdr:row>319</xdr:row>
      <xdr:rowOff>95250</xdr:rowOff>
    </xdr:from>
    <xdr:to>
      <xdr:col>11</xdr:col>
      <xdr:colOff>1181100</xdr:colOff>
      <xdr:row>330</xdr:row>
      <xdr:rowOff>38100</xdr:rowOff>
    </xdr:to>
    <xdr:graphicFrame macro="">
      <xdr:nvGraphicFramePr>
        <xdr:cNvPr id="50" name="Chart 49">
          <a:extLst>
            <a:ext uri="{FF2B5EF4-FFF2-40B4-BE49-F238E27FC236}">
              <a16:creationId xmlns:a16="http://schemas.microsoft.com/office/drawing/2014/main" id="{00000000-0008-0000-08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88446</xdr:colOff>
      <xdr:row>255</xdr:row>
      <xdr:rowOff>141142</xdr:rowOff>
    </xdr:from>
    <xdr:to>
      <xdr:col>5</xdr:col>
      <xdr:colOff>1012371</xdr:colOff>
      <xdr:row>273</xdr:row>
      <xdr:rowOff>28574</xdr:rowOff>
    </xdr:to>
    <xdr:graphicFrame macro="">
      <xdr:nvGraphicFramePr>
        <xdr:cNvPr id="55" name="Chart 54">
          <a:extLst>
            <a:ext uri="{FF2B5EF4-FFF2-40B4-BE49-F238E27FC236}">
              <a16:creationId xmlns:a16="http://schemas.microsoft.com/office/drawing/2014/main" id="{00000000-0008-0000-08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464567</xdr:colOff>
      <xdr:row>71</xdr:row>
      <xdr:rowOff>64016</xdr:rowOff>
    </xdr:from>
    <xdr:to>
      <xdr:col>9</xdr:col>
      <xdr:colOff>344702</xdr:colOff>
      <xdr:row>85</xdr:row>
      <xdr:rowOff>142357</xdr:rowOff>
    </xdr:to>
    <xdr:graphicFrame macro="">
      <xdr:nvGraphicFramePr>
        <xdr:cNvPr id="20" name="Chart 19">
          <a:extLst>
            <a:ext uri="{FF2B5EF4-FFF2-40B4-BE49-F238E27FC236}">
              <a16:creationId xmlns:a16="http://schemas.microsoft.com/office/drawing/2014/main" id="{00000000-0008-0000-08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688582</xdr:colOff>
      <xdr:row>151</xdr:row>
      <xdr:rowOff>151223</xdr:rowOff>
    </xdr:from>
    <xdr:to>
      <xdr:col>8</xdr:col>
      <xdr:colOff>1191802</xdr:colOff>
      <xdr:row>165</xdr:row>
      <xdr:rowOff>165350</xdr:rowOff>
    </xdr:to>
    <xdr:graphicFrame macro="">
      <xdr:nvGraphicFramePr>
        <xdr:cNvPr id="30" name="Chart 29">
          <a:extLst>
            <a:ext uri="{FF2B5EF4-FFF2-40B4-BE49-F238E27FC236}">
              <a16:creationId xmlns:a16="http://schemas.microsoft.com/office/drawing/2014/main" id="{00000000-0008-0000-08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275028</xdr:colOff>
      <xdr:row>207</xdr:row>
      <xdr:rowOff>157557</xdr:rowOff>
    </xdr:from>
    <xdr:to>
      <xdr:col>9</xdr:col>
      <xdr:colOff>850322</xdr:colOff>
      <xdr:row>222</xdr:row>
      <xdr:rowOff>19050</xdr:rowOff>
    </xdr:to>
    <xdr:graphicFrame macro="">
      <xdr:nvGraphicFramePr>
        <xdr:cNvPr id="56" name="Chart 55">
          <a:extLst>
            <a:ext uri="{FF2B5EF4-FFF2-40B4-BE49-F238E27FC236}">
              <a16:creationId xmlns:a16="http://schemas.microsoft.com/office/drawing/2014/main" id="{00000000-0008-0000-0800-00003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12</xdr:col>
      <xdr:colOff>855302</xdr:colOff>
      <xdr:row>288</xdr:row>
      <xdr:rowOff>160627</xdr:rowOff>
    </xdr:from>
    <xdr:to>
      <xdr:col>14</xdr:col>
      <xdr:colOff>842745</xdr:colOff>
      <xdr:row>297</xdr:row>
      <xdr:rowOff>161925</xdr:rowOff>
    </xdr:to>
    <mc:AlternateContent xmlns:mc="http://schemas.openxmlformats.org/markup-compatibility/2006" xmlns:a14="http://schemas.microsoft.com/office/drawing/2010/main">
      <mc:Choice Requires="a14">
        <xdr:graphicFrame macro="">
          <xdr:nvGraphicFramePr>
            <xdr:cNvPr id="21" name="Type of accommodation">
              <a:extLst>
                <a:ext uri="{FF2B5EF4-FFF2-40B4-BE49-F238E27FC236}">
                  <a16:creationId xmlns:a16="http://schemas.microsoft.com/office/drawing/2014/main" id="{00000000-0008-0000-0800-000015000000}"/>
                </a:ext>
              </a:extLst>
            </xdr:cNvPr>
            <xdr:cNvGraphicFramePr/>
          </xdr:nvGraphicFramePr>
          <xdr:xfrm>
            <a:off x="0" y="0"/>
            <a:ext cx="0" cy="0"/>
          </xdr:xfrm>
          <a:graphic>
            <a:graphicData uri="http://schemas.microsoft.com/office/drawing/2010/slicer">
              <sle:slicer xmlns:sle="http://schemas.microsoft.com/office/drawing/2010/slicer" name="Type of accommodation"/>
            </a:graphicData>
          </a:graphic>
        </xdr:graphicFrame>
      </mc:Choice>
      <mc:Fallback xmlns="">
        <xdr:sp macro="" textlink="">
          <xdr:nvSpPr>
            <xdr:cNvPr id="0" name=""/>
            <xdr:cNvSpPr>
              <a:spLocks noTextEdit="1"/>
            </xdr:cNvSpPr>
          </xdr:nvSpPr>
          <xdr:spPr>
            <a:xfrm>
              <a:off x="15952427" y="57529702"/>
              <a:ext cx="1825768" cy="171579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371475</xdr:colOff>
      <xdr:row>334</xdr:row>
      <xdr:rowOff>95250</xdr:rowOff>
    </xdr:from>
    <xdr:to>
      <xdr:col>9</xdr:col>
      <xdr:colOff>471488</xdr:colOff>
      <xdr:row>348</xdr:row>
      <xdr:rowOff>47625</xdr:rowOff>
    </xdr:to>
    <xdr:graphicFrame macro="">
      <xdr:nvGraphicFramePr>
        <xdr:cNvPr id="65" name="Chart 64">
          <a:extLst>
            <a:ext uri="{FF2B5EF4-FFF2-40B4-BE49-F238E27FC236}">
              <a16:creationId xmlns:a16="http://schemas.microsoft.com/office/drawing/2014/main" id="{A65B861A-2F65-49FE-BCC4-94FD95CC2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885826</xdr:colOff>
      <xdr:row>39</xdr:row>
      <xdr:rowOff>76200</xdr:rowOff>
    </xdr:from>
    <xdr:to>
      <xdr:col>10</xdr:col>
      <xdr:colOff>342900</xdr:colOff>
      <xdr:row>51</xdr:row>
      <xdr:rowOff>9525</xdr:rowOff>
    </xdr:to>
    <xdr:graphicFrame macro="">
      <xdr:nvGraphicFramePr>
        <xdr:cNvPr id="68" name="Chart 67">
          <a:extLst>
            <a:ext uri="{FF2B5EF4-FFF2-40B4-BE49-F238E27FC236}">
              <a16:creationId xmlns:a16="http://schemas.microsoft.com/office/drawing/2014/main" id="{CCC49B9A-D9A1-4E7C-9DC3-A6DF179375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495300</xdr:colOff>
      <xdr:row>39</xdr:row>
      <xdr:rowOff>19050</xdr:rowOff>
    </xdr:from>
    <xdr:to>
      <xdr:col>15</xdr:col>
      <xdr:colOff>23812</xdr:colOff>
      <xdr:row>51</xdr:row>
      <xdr:rowOff>57150</xdr:rowOff>
    </xdr:to>
    <xdr:graphicFrame macro="">
      <xdr:nvGraphicFramePr>
        <xdr:cNvPr id="70" name="Chart 69">
          <a:extLst>
            <a:ext uri="{FF2B5EF4-FFF2-40B4-BE49-F238E27FC236}">
              <a16:creationId xmlns:a16="http://schemas.microsoft.com/office/drawing/2014/main" id="{ADF21E24-8F0C-4353-A049-5033D07F8E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21</xdr:col>
      <xdr:colOff>9525</xdr:colOff>
      <xdr:row>33</xdr:row>
      <xdr:rowOff>171450</xdr:rowOff>
    </xdr:from>
    <xdr:to>
      <xdr:col>24</xdr:col>
      <xdr:colOff>619125</xdr:colOff>
      <xdr:row>46</xdr:row>
      <xdr:rowOff>9525</xdr:rowOff>
    </xdr:to>
    <xdr:graphicFrame macro="">
      <xdr:nvGraphicFramePr>
        <xdr:cNvPr id="73" name="Chart 72">
          <a:extLst>
            <a:ext uri="{FF2B5EF4-FFF2-40B4-BE49-F238E27FC236}">
              <a16:creationId xmlns:a16="http://schemas.microsoft.com/office/drawing/2014/main" id="{A9413C04-5881-4BCB-A6BC-5D235F4C6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100012</xdr:colOff>
      <xdr:row>34</xdr:row>
      <xdr:rowOff>19050</xdr:rowOff>
    </xdr:from>
    <xdr:to>
      <xdr:col>33</xdr:col>
      <xdr:colOff>461962</xdr:colOff>
      <xdr:row>46</xdr:row>
      <xdr:rowOff>57150</xdr:rowOff>
    </xdr:to>
    <xdr:graphicFrame macro="">
      <xdr:nvGraphicFramePr>
        <xdr:cNvPr id="75" name="Chart 74">
          <a:extLst>
            <a:ext uri="{FF2B5EF4-FFF2-40B4-BE49-F238E27FC236}">
              <a16:creationId xmlns:a16="http://schemas.microsoft.com/office/drawing/2014/main" id="{2F00D466-C0FC-4748-BC56-3269E46D54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1071561</xdr:colOff>
      <xdr:row>105</xdr:row>
      <xdr:rowOff>0</xdr:rowOff>
    </xdr:from>
    <xdr:to>
      <xdr:col>9</xdr:col>
      <xdr:colOff>1057274</xdr:colOff>
      <xdr:row>119</xdr:row>
      <xdr:rowOff>123825</xdr:rowOff>
    </xdr:to>
    <xdr:graphicFrame macro="">
      <xdr:nvGraphicFramePr>
        <xdr:cNvPr id="9" name="Chart 8">
          <a:extLst>
            <a:ext uri="{FF2B5EF4-FFF2-40B4-BE49-F238E27FC236}">
              <a16:creationId xmlns:a16="http://schemas.microsoft.com/office/drawing/2014/main" id="{DB700D4B-99F9-4F8B-B7D2-6AD32DE8C4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280987</xdr:colOff>
      <xdr:row>121</xdr:row>
      <xdr:rowOff>19050</xdr:rowOff>
    </xdr:from>
    <xdr:to>
      <xdr:col>9</xdr:col>
      <xdr:colOff>166687</xdr:colOff>
      <xdr:row>135</xdr:row>
      <xdr:rowOff>28575</xdr:rowOff>
    </xdr:to>
    <xdr:graphicFrame macro="">
      <xdr:nvGraphicFramePr>
        <xdr:cNvPr id="11" name="Chart 10">
          <a:extLst>
            <a:ext uri="{FF2B5EF4-FFF2-40B4-BE49-F238E27FC236}">
              <a16:creationId xmlns:a16="http://schemas.microsoft.com/office/drawing/2014/main" id="{06A2807C-92C2-4A0F-82F5-99DF0FF1B9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52387</xdr:colOff>
      <xdr:row>131</xdr:row>
      <xdr:rowOff>161925</xdr:rowOff>
    </xdr:from>
    <xdr:to>
      <xdr:col>13</xdr:col>
      <xdr:colOff>804862</xdr:colOff>
      <xdr:row>145</xdr:row>
      <xdr:rowOff>171450</xdr:rowOff>
    </xdr:to>
    <xdr:graphicFrame macro="">
      <xdr:nvGraphicFramePr>
        <xdr:cNvPr id="14" name="Chart 13">
          <a:extLst>
            <a:ext uri="{FF2B5EF4-FFF2-40B4-BE49-F238E27FC236}">
              <a16:creationId xmlns:a16="http://schemas.microsoft.com/office/drawing/2014/main" id="{BE2E92AB-88C5-4893-B110-4AFB0D7A3F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300037</xdr:colOff>
      <xdr:row>223</xdr:row>
      <xdr:rowOff>114300</xdr:rowOff>
    </xdr:from>
    <xdr:to>
      <xdr:col>9</xdr:col>
      <xdr:colOff>962025</xdr:colOff>
      <xdr:row>237</xdr:row>
      <xdr:rowOff>19050</xdr:rowOff>
    </xdr:to>
    <xdr:graphicFrame macro="">
      <xdr:nvGraphicFramePr>
        <xdr:cNvPr id="4" name="Chart 3">
          <a:extLst>
            <a:ext uri="{FF2B5EF4-FFF2-40B4-BE49-F238E27FC236}">
              <a16:creationId xmlns:a16="http://schemas.microsoft.com/office/drawing/2014/main" id="{1525DDB0-ACF7-48B4-9C75-FB38D3CFEB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12</xdr:col>
      <xdr:colOff>828675</xdr:colOff>
      <xdr:row>283</xdr:row>
      <xdr:rowOff>123826</xdr:rowOff>
    </xdr:from>
    <xdr:to>
      <xdr:col>14</xdr:col>
      <xdr:colOff>819150</xdr:colOff>
      <xdr:row>288</xdr:row>
      <xdr:rowOff>104776</xdr:rowOff>
    </xdr:to>
    <mc:AlternateContent xmlns:mc="http://schemas.openxmlformats.org/markup-compatibility/2006" xmlns:a14="http://schemas.microsoft.com/office/drawing/2010/main">
      <mc:Choice Requires="a14">
        <xdr:graphicFrame macro="">
          <xdr:nvGraphicFramePr>
            <xdr:cNvPr id="5" name="Covered">
              <a:extLst>
                <a:ext uri="{FF2B5EF4-FFF2-40B4-BE49-F238E27FC236}">
                  <a16:creationId xmlns:a16="http://schemas.microsoft.com/office/drawing/2014/main" id="{BFF4B95C-DDD4-48EF-9EB0-EA30CF223E54}"/>
                </a:ext>
              </a:extLst>
            </xdr:cNvPr>
            <xdr:cNvGraphicFramePr/>
          </xdr:nvGraphicFramePr>
          <xdr:xfrm>
            <a:off x="0" y="0"/>
            <a:ext cx="0" cy="0"/>
          </xdr:xfrm>
          <a:graphic>
            <a:graphicData uri="http://schemas.microsoft.com/office/drawing/2010/slicer">
              <sle:slicer xmlns:sle="http://schemas.microsoft.com/office/drawing/2010/slicer" name="Covered"/>
            </a:graphicData>
          </a:graphic>
        </xdr:graphicFrame>
      </mc:Choice>
      <mc:Fallback xmlns="">
        <xdr:sp macro="" textlink="">
          <xdr:nvSpPr>
            <xdr:cNvPr id="0" name=""/>
            <xdr:cNvSpPr>
              <a:spLocks noTextEdit="1"/>
            </xdr:cNvSpPr>
          </xdr:nvSpPr>
          <xdr:spPr>
            <a:xfrm>
              <a:off x="15925800" y="56540401"/>
              <a:ext cx="1828800" cy="933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942975</xdr:colOff>
      <xdr:row>283</xdr:row>
      <xdr:rowOff>133351</xdr:rowOff>
    </xdr:from>
    <xdr:to>
      <xdr:col>17</xdr:col>
      <xdr:colOff>285750</xdr:colOff>
      <xdr:row>297</xdr:row>
      <xdr:rowOff>161925</xdr:rowOff>
    </xdr:to>
    <mc:AlternateContent xmlns:mc="http://schemas.openxmlformats.org/markup-compatibility/2006" xmlns:a14="http://schemas.microsoft.com/office/drawing/2010/main">
      <mc:Choice Requires="a14">
        <xdr:graphicFrame macro="">
          <xdr:nvGraphicFramePr>
            <xdr:cNvPr id="7" name="Township 3">
              <a:extLst>
                <a:ext uri="{FF2B5EF4-FFF2-40B4-BE49-F238E27FC236}">
                  <a16:creationId xmlns:a16="http://schemas.microsoft.com/office/drawing/2014/main" id="{41AC674F-2B8B-439B-92D1-9FC3F71A1164}"/>
                </a:ext>
              </a:extLst>
            </xdr:cNvPr>
            <xdr:cNvGraphicFramePr/>
          </xdr:nvGraphicFramePr>
          <xdr:xfrm>
            <a:off x="0" y="0"/>
            <a:ext cx="0" cy="0"/>
          </xdr:xfrm>
          <a:graphic>
            <a:graphicData uri="http://schemas.microsoft.com/office/drawing/2010/slicer">
              <sle:slicer xmlns:sle="http://schemas.microsoft.com/office/drawing/2010/slicer" name="Township 3"/>
            </a:graphicData>
          </a:graphic>
        </xdr:graphicFrame>
      </mc:Choice>
      <mc:Fallback xmlns="">
        <xdr:sp macro="" textlink="">
          <xdr:nvSpPr>
            <xdr:cNvPr id="0" name=""/>
            <xdr:cNvSpPr>
              <a:spLocks noTextEdit="1"/>
            </xdr:cNvSpPr>
          </xdr:nvSpPr>
          <xdr:spPr>
            <a:xfrm>
              <a:off x="17878425" y="56549926"/>
              <a:ext cx="1828800" cy="26955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376237</xdr:colOff>
      <xdr:row>351</xdr:row>
      <xdr:rowOff>104775</xdr:rowOff>
    </xdr:from>
    <xdr:to>
      <xdr:col>9</xdr:col>
      <xdr:colOff>261937</xdr:colOff>
      <xdr:row>365</xdr:row>
      <xdr:rowOff>142875</xdr:rowOff>
    </xdr:to>
    <xdr:graphicFrame macro="">
      <xdr:nvGraphicFramePr>
        <xdr:cNvPr id="12" name="Chart 11">
          <a:extLst>
            <a:ext uri="{FF2B5EF4-FFF2-40B4-BE49-F238E27FC236}">
              <a16:creationId xmlns:a16="http://schemas.microsoft.com/office/drawing/2014/main" id="{12701853-F481-41DF-8B59-C4D33F94F3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309561</xdr:colOff>
      <xdr:row>369</xdr:row>
      <xdr:rowOff>180975</xdr:rowOff>
    </xdr:from>
    <xdr:to>
      <xdr:col>10</xdr:col>
      <xdr:colOff>409574</xdr:colOff>
      <xdr:row>383</xdr:row>
      <xdr:rowOff>180975</xdr:rowOff>
    </xdr:to>
    <xdr:graphicFrame macro="">
      <xdr:nvGraphicFramePr>
        <xdr:cNvPr id="13" name="Chart 12">
          <a:extLst>
            <a:ext uri="{FF2B5EF4-FFF2-40B4-BE49-F238E27FC236}">
              <a16:creationId xmlns:a16="http://schemas.microsoft.com/office/drawing/2014/main" id="{A7F71EF3-D205-45D2-BACE-210FD5A8B6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1357312</xdr:colOff>
      <xdr:row>238</xdr:row>
      <xdr:rowOff>161925</xdr:rowOff>
    </xdr:from>
    <xdr:to>
      <xdr:col>7</xdr:col>
      <xdr:colOff>1081087</xdr:colOff>
      <xdr:row>251</xdr:row>
      <xdr:rowOff>190500</xdr:rowOff>
    </xdr:to>
    <xdr:graphicFrame macro="">
      <xdr:nvGraphicFramePr>
        <xdr:cNvPr id="15" name="Chart 14">
          <a:extLst>
            <a:ext uri="{FF2B5EF4-FFF2-40B4-BE49-F238E27FC236}">
              <a16:creationId xmlns:a16="http://schemas.microsoft.com/office/drawing/2014/main" id="{5B5C5F3F-0BFD-4B11-91D3-50002296B4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500062</xdr:colOff>
      <xdr:row>0</xdr:row>
      <xdr:rowOff>64820</xdr:rowOff>
    </xdr:from>
    <xdr:to>
      <xdr:col>24</xdr:col>
      <xdr:colOff>107156</xdr:colOff>
      <xdr:row>95</xdr:row>
      <xdr:rowOff>130969</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4763</xdr:colOff>
      <xdr:row>0</xdr:row>
      <xdr:rowOff>9525</xdr:rowOff>
    </xdr:from>
    <xdr:to>
      <xdr:col>8</xdr:col>
      <xdr:colOff>301625</xdr:colOff>
      <xdr:row>14</xdr:row>
      <xdr:rowOff>59531</xdr:rowOff>
    </xdr:to>
    <mc:AlternateContent xmlns:mc="http://schemas.openxmlformats.org/markup-compatibility/2006" xmlns:a14="http://schemas.microsoft.com/office/drawing/2010/main">
      <mc:Choice Requires="a14">
        <xdr:graphicFrame macro="">
          <xdr:nvGraphicFramePr>
            <xdr:cNvPr id="5" name="Township">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microsoft.com/office/drawing/2010/slicer">
              <sle:slicer xmlns:sle="http://schemas.microsoft.com/office/drawing/2010/slicer" name="Township"/>
            </a:graphicData>
          </a:graphic>
        </xdr:graphicFrame>
      </mc:Choice>
      <mc:Fallback xmlns="">
        <xdr:sp macro="" textlink="">
          <xdr:nvSpPr>
            <xdr:cNvPr id="0" name=""/>
            <xdr:cNvSpPr>
              <a:spLocks noTextEdit="1"/>
            </xdr:cNvSpPr>
          </xdr:nvSpPr>
          <xdr:spPr>
            <a:xfrm>
              <a:off x="4897967" y="9525"/>
              <a:ext cx="1822450" cy="515514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397933</xdr:colOff>
      <xdr:row>0</xdr:row>
      <xdr:rowOff>114566</xdr:rowOff>
    </xdr:from>
    <xdr:to>
      <xdr:col>27</xdr:col>
      <xdr:colOff>160337</xdr:colOff>
      <xdr:row>9</xdr:row>
      <xdr:rowOff>54241</xdr:rowOff>
    </xdr:to>
    <mc:AlternateContent xmlns:mc="http://schemas.openxmlformats.org/markup-compatibility/2006" xmlns:a14="http://schemas.microsoft.com/office/drawing/2010/main">
      <mc:Choice Requires="a14">
        <xdr:graphicFrame macro="">
          <xdr:nvGraphicFramePr>
            <xdr:cNvPr id="7" name="Reporting Period">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microsoft.com/office/drawing/2010/slicer">
              <sle:slicer xmlns:sle="http://schemas.microsoft.com/office/drawing/2010/slicer" name="Reporting Period"/>
            </a:graphicData>
          </a:graphic>
        </xdr:graphicFrame>
      </mc:Choice>
      <mc:Fallback xmlns="">
        <xdr:sp macro="" textlink="">
          <xdr:nvSpPr>
            <xdr:cNvPr id="0" name=""/>
            <xdr:cNvSpPr>
              <a:spLocks noTextEdit="1"/>
            </xdr:cNvSpPr>
          </xdr:nvSpPr>
          <xdr:spPr>
            <a:xfrm>
              <a:off x="17650089" y="114566"/>
              <a:ext cx="1834092" cy="176133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95250</xdr:colOff>
      <xdr:row>0</xdr:row>
      <xdr:rowOff>117740</xdr:rowOff>
    </xdr:from>
    <xdr:to>
      <xdr:col>2</xdr:col>
      <xdr:colOff>748770</xdr:colOff>
      <xdr:row>14</xdr:row>
      <xdr:rowOff>59532</xdr:rowOff>
    </xdr:to>
    <mc:AlternateContent xmlns:mc="http://schemas.openxmlformats.org/markup-compatibility/2006" xmlns:a14="http://schemas.microsoft.com/office/drawing/2010/main">
      <mc:Choice Requires="a14">
        <xdr:graphicFrame macro="">
          <xdr:nvGraphicFramePr>
            <xdr:cNvPr id="3" name="WASH project agency">
              <a:extLst>
                <a:ext uri="{FF2B5EF4-FFF2-40B4-BE49-F238E27FC236}">
                  <a16:creationId xmlns:a16="http://schemas.microsoft.com/office/drawing/2014/main" id="{A0F92203-03F6-4917-8104-9294848FC898}"/>
                </a:ext>
              </a:extLst>
            </xdr:cNvPr>
            <xdr:cNvGraphicFramePr/>
          </xdr:nvGraphicFramePr>
          <xdr:xfrm>
            <a:off x="0" y="0"/>
            <a:ext cx="0" cy="0"/>
          </xdr:xfrm>
          <a:graphic>
            <a:graphicData uri="http://schemas.microsoft.com/office/drawing/2010/slicer">
              <sle:slicer xmlns:sle="http://schemas.microsoft.com/office/drawing/2010/slicer" name="WASH project agency"/>
            </a:graphicData>
          </a:graphic>
        </xdr:graphicFrame>
      </mc:Choice>
      <mc:Fallback xmlns="">
        <xdr:sp macro="" textlink="">
          <xdr:nvSpPr>
            <xdr:cNvPr id="0" name=""/>
            <xdr:cNvSpPr>
              <a:spLocks noTextEdit="1"/>
            </xdr:cNvSpPr>
          </xdr:nvSpPr>
          <xdr:spPr>
            <a:xfrm>
              <a:off x="95250" y="117740"/>
              <a:ext cx="4165864" cy="27754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c:userShapes xmlns:c="http://schemas.openxmlformats.org/drawingml/2006/chart">
  <cdr:relSizeAnchor xmlns:cdr="http://schemas.openxmlformats.org/drawingml/2006/chartDrawing">
    <cdr:from>
      <cdr:x>0.25535</cdr:x>
      <cdr:y>0.01003</cdr:y>
    </cdr:from>
    <cdr:to>
      <cdr:x>0.41195</cdr:x>
      <cdr:y>0.07103</cdr:y>
    </cdr:to>
    <cdr:sp macro="" textlink="'Quarterly Dashboard'!$B$27">
      <cdr:nvSpPr>
        <cdr:cNvPr id="2" name="Rectangle 1"/>
        <cdr:cNvSpPr/>
      </cdr:nvSpPr>
      <cdr:spPr>
        <a:xfrm xmlns:a="http://schemas.openxmlformats.org/drawingml/2006/main">
          <a:off x="2721062" y="57155"/>
          <a:ext cx="1668745" cy="34756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r"/>
          <a:fld id="{9251A8C9-7CE7-43F0-A181-4FA5540E608E}" type="TxLink">
            <a:rPr lang="en-US" sz="1800" b="1" i="0" u="none" strike="noStrike">
              <a:solidFill>
                <a:srgbClr val="44546A"/>
              </a:solidFill>
              <a:latin typeface="Calibri"/>
            </a:rPr>
            <a:pPr algn="r"/>
            <a:t>2019_Q2</a:t>
          </a:fld>
          <a:endParaRPr lang="en-US" sz="1600" b="1">
            <a:solidFill>
              <a:srgbClr val="44546A"/>
            </a:solidFill>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7</xdr:col>
      <xdr:colOff>81936</xdr:colOff>
      <xdr:row>3</xdr:row>
      <xdr:rowOff>133145</xdr:rowOff>
    </xdr:from>
    <xdr:to>
      <xdr:col>18</xdr:col>
      <xdr:colOff>872720</xdr:colOff>
      <xdr:row>21</xdr:row>
      <xdr:rowOff>128090</xdr:rowOff>
    </xdr:to>
    <xdr:pic>
      <xdr:nvPicPr>
        <xdr:cNvPr id="8" name="Picture 7">
          <a:extLst>
            <a:ext uri="{FF2B5EF4-FFF2-40B4-BE49-F238E27FC236}">
              <a16:creationId xmlns:a16="http://schemas.microsoft.com/office/drawing/2014/main" id="{FA57E93D-9E7C-4A8F-AE53-560E6494A4EB}"/>
            </a:ext>
          </a:extLst>
        </xdr:cNvPr>
        <xdr:cNvPicPr>
          <a:picLocks noChangeAspect="1"/>
        </xdr:cNvPicPr>
      </xdr:nvPicPr>
      <xdr:blipFill>
        <a:blip xmlns:r="http://schemas.openxmlformats.org/officeDocument/2006/relationships" r:embed="rId1"/>
        <a:stretch>
          <a:fillRect/>
        </a:stretch>
      </xdr:blipFill>
      <xdr:spPr>
        <a:xfrm>
          <a:off x="7107904" y="1044677"/>
          <a:ext cx="8974090" cy="2944623"/>
        </a:xfrm>
        <a:prstGeom prst="rect">
          <a:avLst/>
        </a:prstGeom>
      </xdr:spPr>
    </xdr:pic>
    <xdr:clientData/>
  </xdr:twoCellAnchor>
  <xdr:twoCellAnchor>
    <xdr:from>
      <xdr:col>7</xdr:col>
      <xdr:colOff>65925</xdr:colOff>
      <xdr:row>89</xdr:row>
      <xdr:rowOff>117844</xdr:rowOff>
    </xdr:from>
    <xdr:to>
      <xdr:col>13</xdr:col>
      <xdr:colOff>267956</xdr:colOff>
      <xdr:row>101</xdr:row>
      <xdr:rowOff>132398</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71693</xdr:colOff>
      <xdr:row>52</xdr:row>
      <xdr:rowOff>66885</xdr:rowOff>
    </xdr:from>
    <xdr:to>
      <xdr:col>6</xdr:col>
      <xdr:colOff>939256</xdr:colOff>
      <xdr:row>60</xdr:row>
      <xdr:rowOff>184355</xdr:rowOff>
    </xdr:to>
    <xdr:grpSp>
      <xdr:nvGrpSpPr>
        <xdr:cNvPr id="12" name="Group 11">
          <a:extLst>
            <a:ext uri="{FF2B5EF4-FFF2-40B4-BE49-F238E27FC236}">
              <a16:creationId xmlns:a16="http://schemas.microsoft.com/office/drawing/2014/main" id="{00000000-0008-0000-0B00-00000C000000}"/>
            </a:ext>
          </a:extLst>
        </xdr:cNvPr>
        <xdr:cNvGrpSpPr/>
      </xdr:nvGrpSpPr>
      <xdr:grpSpPr>
        <a:xfrm>
          <a:off x="71693" y="9376804"/>
          <a:ext cx="6941031" cy="1745938"/>
          <a:chOff x="6844733" y="-4703135"/>
          <a:chExt cx="6361075" cy="4076330"/>
        </a:xfrm>
      </xdr:grpSpPr>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6844733" y="-4703135"/>
          <a:ext cx="6361075" cy="407633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4" name="TextBox 13">
            <a:hlinkClick xmlns:r="http://schemas.openxmlformats.org/officeDocument/2006/relationships" r:id="rId4"/>
            <a:extLst>
              <a:ext uri="{FF2B5EF4-FFF2-40B4-BE49-F238E27FC236}">
                <a16:creationId xmlns:a16="http://schemas.microsoft.com/office/drawing/2014/main" id="{00000000-0008-0000-0B00-00000E000000}"/>
              </a:ext>
            </a:extLst>
          </xdr:cNvPr>
          <xdr:cNvSpPr txBox="1"/>
        </xdr:nvSpPr>
        <xdr:spPr>
          <a:xfrm>
            <a:off x="11657938" y="-4529487"/>
            <a:ext cx="1528784" cy="1398873"/>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More</a:t>
            </a:r>
            <a:r>
              <a:rPr lang="en-US" sz="1400" b="1" baseline="0">
                <a:solidFill>
                  <a:schemeClr val="bg1"/>
                </a:solidFill>
              </a:rPr>
              <a:t> info on gaps </a:t>
            </a:r>
            <a:r>
              <a:rPr lang="en-US" sz="1000" b="1" baseline="0">
                <a:solidFill>
                  <a:schemeClr val="bg1"/>
                </a:solidFill>
              </a:rPr>
              <a:t>(click here)</a:t>
            </a:r>
            <a:endParaRPr lang="en-US" sz="1000" b="1">
              <a:solidFill>
                <a:schemeClr val="bg1"/>
              </a:solidFill>
            </a:endParaRPr>
          </a:p>
        </xdr:txBody>
      </xdr:sp>
    </xdr:grpSp>
    <xdr:clientData/>
  </xdr:twoCellAnchor>
  <xdr:twoCellAnchor>
    <xdr:from>
      <xdr:col>7</xdr:col>
      <xdr:colOff>63397</xdr:colOff>
      <xdr:row>38</xdr:row>
      <xdr:rowOff>72297</xdr:rowOff>
    </xdr:from>
    <xdr:to>
      <xdr:col>19</xdr:col>
      <xdr:colOff>21849</xdr:colOff>
      <xdr:row>40</xdr:row>
      <xdr:rowOff>110315</xdr:rowOff>
    </xdr:to>
    <xdr:sp macro="" textlink="">
      <xdr:nvSpPr>
        <xdr:cNvPr id="15" name="Rectangle 14">
          <a:extLst>
            <a:ext uri="{FF2B5EF4-FFF2-40B4-BE49-F238E27FC236}">
              <a16:creationId xmlns:a16="http://schemas.microsoft.com/office/drawing/2014/main" id="{00000000-0008-0000-0B00-00000F000000}"/>
            </a:ext>
          </a:extLst>
        </xdr:cNvPr>
        <xdr:cNvSpPr/>
      </xdr:nvSpPr>
      <xdr:spPr>
        <a:xfrm>
          <a:off x="7109849" y="6719313"/>
          <a:ext cx="9053290" cy="3657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WATER Quantity                                                                                                                               WATER Quality</a:t>
          </a:r>
        </a:p>
      </xdr:txBody>
    </xdr:sp>
    <xdr:clientData/>
  </xdr:twoCellAnchor>
  <xdr:twoCellAnchor>
    <xdr:from>
      <xdr:col>1</xdr:col>
      <xdr:colOff>0</xdr:colOff>
      <xdr:row>1</xdr:row>
      <xdr:rowOff>40968</xdr:rowOff>
    </xdr:from>
    <xdr:to>
      <xdr:col>6</xdr:col>
      <xdr:colOff>942259</xdr:colOff>
      <xdr:row>21</xdr:row>
      <xdr:rowOff>143387</xdr:rowOff>
    </xdr:to>
    <xdr:graphicFrame macro="">
      <xdr:nvGraphicFramePr>
        <xdr:cNvPr id="16" name="Chart 15">
          <a:extLst>
            <a:ext uri="{FF2B5EF4-FFF2-40B4-BE49-F238E27FC236}">
              <a16:creationId xmlns:a16="http://schemas.microsoft.com/office/drawing/2014/main" id="{00000000-0008-0000-0B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73494</xdr:colOff>
      <xdr:row>57</xdr:row>
      <xdr:rowOff>133145</xdr:rowOff>
    </xdr:from>
    <xdr:to>
      <xdr:col>19</xdr:col>
      <xdr:colOff>32581</xdr:colOff>
      <xdr:row>59</xdr:row>
      <xdr:rowOff>17534</xdr:rowOff>
    </xdr:to>
    <xdr:sp macro="" textlink="">
      <xdr:nvSpPr>
        <xdr:cNvPr id="19" name="TextBox 18">
          <a:extLst>
            <a:ext uri="{FF2B5EF4-FFF2-40B4-BE49-F238E27FC236}">
              <a16:creationId xmlns:a16="http://schemas.microsoft.com/office/drawing/2014/main" id="{00000000-0008-0000-0B00-000013000000}"/>
            </a:ext>
          </a:extLst>
        </xdr:cNvPr>
        <xdr:cNvSpPr txBox="1"/>
      </xdr:nvSpPr>
      <xdr:spPr>
        <a:xfrm>
          <a:off x="7119946" y="10385322"/>
          <a:ext cx="9053925" cy="365760"/>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Sanitation</a:t>
          </a:r>
          <a:endParaRPr lang="en-US" sz="1400">
            <a:solidFill>
              <a:schemeClr val="bg1"/>
            </a:solidFill>
            <a:effectLst/>
          </a:endParaRPr>
        </a:p>
      </xdr:txBody>
    </xdr:sp>
    <xdr:clientData/>
  </xdr:twoCellAnchor>
  <xdr:twoCellAnchor>
    <xdr:from>
      <xdr:col>7</xdr:col>
      <xdr:colOff>73506</xdr:colOff>
      <xdr:row>87</xdr:row>
      <xdr:rowOff>57967</xdr:rowOff>
    </xdr:from>
    <xdr:to>
      <xdr:col>19</xdr:col>
      <xdr:colOff>32593</xdr:colOff>
      <xdr:row>89</xdr:row>
      <xdr:rowOff>26851</xdr:rowOff>
    </xdr:to>
    <xdr:sp macro="" textlink="">
      <xdr:nvSpPr>
        <xdr:cNvPr id="20" name="TextBox 45">
          <a:extLst>
            <a:ext uri="{FF2B5EF4-FFF2-40B4-BE49-F238E27FC236}">
              <a16:creationId xmlns:a16="http://schemas.microsoft.com/office/drawing/2014/main" id="{00000000-0008-0000-0B00-000014000000}"/>
            </a:ext>
          </a:extLst>
        </xdr:cNvPr>
        <xdr:cNvSpPr txBox="1"/>
      </xdr:nvSpPr>
      <xdr:spPr>
        <a:xfrm>
          <a:off x="7119958" y="17141515"/>
          <a:ext cx="9053925" cy="378562"/>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Hygiene Items </a:t>
          </a:r>
          <a:r>
            <a:rPr lang="en-US" sz="1200" b="1" i="0" baseline="0">
              <a:solidFill>
                <a:schemeClr val="bg1"/>
              </a:solidFill>
              <a:effectLst/>
              <a:latin typeface="+mn-lt"/>
              <a:ea typeface="+mn-ea"/>
              <a:cs typeface="+mn-cs"/>
            </a:rPr>
            <a:t>			                                      </a:t>
          </a:r>
          <a:endParaRPr lang="en-US" sz="1200">
            <a:solidFill>
              <a:schemeClr val="bg1"/>
            </a:solidFill>
            <a:effectLst/>
          </a:endParaRPr>
        </a:p>
      </xdr:txBody>
    </xdr:sp>
    <xdr:clientData/>
  </xdr:twoCellAnchor>
  <xdr:twoCellAnchor>
    <xdr:from>
      <xdr:col>0</xdr:col>
      <xdr:colOff>92177</xdr:colOff>
      <xdr:row>69</xdr:row>
      <xdr:rowOff>184354</xdr:rowOff>
    </xdr:from>
    <xdr:to>
      <xdr:col>3</xdr:col>
      <xdr:colOff>348224</xdr:colOff>
      <xdr:row>82</xdr:row>
      <xdr:rowOff>81772</xdr:rowOff>
    </xdr:to>
    <xdr:graphicFrame macro="">
      <xdr:nvGraphicFramePr>
        <xdr:cNvPr id="22" name="Chart 21">
          <a:extLst>
            <a:ext uri="{FF2B5EF4-FFF2-40B4-BE49-F238E27FC236}">
              <a16:creationId xmlns:a16="http://schemas.microsoft.com/office/drawing/2014/main" id="{00000000-0008-0000-0B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79374</xdr:colOff>
      <xdr:row>1</xdr:row>
      <xdr:rowOff>29766</xdr:rowOff>
    </xdr:from>
    <xdr:to>
      <xdr:col>19</xdr:col>
      <xdr:colOff>37096</xdr:colOff>
      <xdr:row>3</xdr:row>
      <xdr:rowOff>67784</xdr:rowOff>
    </xdr:to>
    <xdr:sp macro="" textlink="">
      <xdr:nvSpPr>
        <xdr:cNvPr id="34" name="Rectangle 33">
          <a:extLst>
            <a:ext uri="{FF2B5EF4-FFF2-40B4-BE49-F238E27FC236}">
              <a16:creationId xmlns:a16="http://schemas.microsoft.com/office/drawing/2014/main" id="{F2514196-0B9B-416C-988E-BA525F05CCF8}"/>
            </a:ext>
          </a:extLst>
        </xdr:cNvPr>
        <xdr:cNvSpPr/>
      </xdr:nvSpPr>
      <xdr:spPr>
        <a:xfrm>
          <a:off x="7125826" y="613556"/>
          <a:ext cx="9052560" cy="365760"/>
        </a:xfrm>
        <a:prstGeom prst="rect">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t>Accountability to Affected</a:t>
          </a:r>
          <a:r>
            <a:rPr lang="en-US" sz="1400" b="1" baseline="0"/>
            <a:t> Population</a:t>
          </a:r>
          <a:endParaRPr lang="en-US" sz="1400" b="1"/>
        </a:p>
      </xdr:txBody>
    </xdr:sp>
    <xdr:clientData/>
  </xdr:twoCellAnchor>
  <xdr:twoCellAnchor>
    <xdr:from>
      <xdr:col>0</xdr:col>
      <xdr:colOff>70049</xdr:colOff>
      <xdr:row>49</xdr:row>
      <xdr:rowOff>15064</xdr:rowOff>
    </xdr:from>
    <xdr:to>
      <xdr:col>6</xdr:col>
      <xdr:colOff>958394</xdr:colOff>
      <xdr:row>51</xdr:row>
      <xdr:rowOff>165125</xdr:rowOff>
    </xdr:to>
    <xdr:sp macro="" textlink="">
      <xdr:nvSpPr>
        <xdr:cNvPr id="35" name="Rectangle 34">
          <a:extLst>
            <a:ext uri="{FF2B5EF4-FFF2-40B4-BE49-F238E27FC236}">
              <a16:creationId xmlns:a16="http://schemas.microsoft.com/office/drawing/2014/main" id="{EC76F521-A72D-48BC-A1A3-5C5B3E2806B0}"/>
            </a:ext>
          </a:extLst>
        </xdr:cNvPr>
        <xdr:cNvSpPr/>
      </xdr:nvSpPr>
      <xdr:spPr>
        <a:xfrm>
          <a:off x="70049" y="8710467"/>
          <a:ext cx="6961813" cy="559739"/>
        </a:xfrm>
        <a:prstGeom prst="rect">
          <a:avLst/>
        </a:prstGeom>
        <a:ln>
          <a:solidFill>
            <a:schemeClr val="accent1">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400" b="1" i="0" u="none" strike="noStrike">
              <a:solidFill>
                <a:schemeClr val="bg1">
                  <a:lumMod val="50000"/>
                </a:schemeClr>
              </a:solidFill>
              <a:effectLst/>
              <a:latin typeface="+mn-lt"/>
              <a:ea typeface="+mn-ea"/>
              <a:cs typeface="+mn-cs"/>
            </a:rPr>
            <a:t>DONORS: </a:t>
          </a:r>
          <a:r>
            <a:rPr lang="en-US" sz="1400" b="0" i="0" u="none" strike="noStrike">
              <a:solidFill>
                <a:schemeClr val="bg1">
                  <a:lumMod val="50000"/>
                </a:schemeClr>
              </a:solidFill>
              <a:effectLst/>
              <a:latin typeface="+mn-lt"/>
              <a:ea typeface="+mn-ea"/>
              <a:cs typeface="+mn-cs"/>
            </a:rPr>
            <a:t>HARP, UNICEF, MHF, OFDA, WVI, BMZ, IOM, FFO, ECHO, German Humanitarain Assistance (AA), GIZ    </a:t>
          </a:r>
          <a:r>
            <a:rPr lang="en-US" sz="1400">
              <a:solidFill>
                <a:schemeClr val="bg1">
                  <a:lumMod val="50000"/>
                </a:schemeClr>
              </a:solidFill>
            </a:rPr>
            <a:t> </a:t>
          </a:r>
        </a:p>
      </xdr:txBody>
    </xdr:sp>
    <xdr:clientData/>
  </xdr:twoCellAnchor>
  <xdr:twoCellAnchor>
    <xdr:from>
      <xdr:col>7</xdr:col>
      <xdr:colOff>78341</xdr:colOff>
      <xdr:row>40</xdr:row>
      <xdr:rowOff>165920</xdr:rowOff>
    </xdr:from>
    <xdr:to>
      <xdr:col>18</xdr:col>
      <xdr:colOff>858873</xdr:colOff>
      <xdr:row>55</xdr:row>
      <xdr:rowOff>57012</xdr:rowOff>
    </xdr:to>
    <xdr:grpSp>
      <xdr:nvGrpSpPr>
        <xdr:cNvPr id="3" name="Group 2">
          <a:extLst>
            <a:ext uri="{FF2B5EF4-FFF2-40B4-BE49-F238E27FC236}">
              <a16:creationId xmlns:a16="http://schemas.microsoft.com/office/drawing/2014/main" id="{C605ECFD-6A75-467C-A4EF-10590DF62AA9}"/>
            </a:ext>
          </a:extLst>
        </xdr:cNvPr>
        <xdr:cNvGrpSpPr/>
      </xdr:nvGrpSpPr>
      <xdr:grpSpPr>
        <a:xfrm>
          <a:off x="7104309" y="7140678"/>
          <a:ext cx="8963838" cy="2799802"/>
          <a:chOff x="7206728" y="8595032"/>
          <a:chExt cx="8963838" cy="2799802"/>
        </a:xfrm>
      </xdr:grpSpPr>
      <xdr:grpSp>
        <xdr:nvGrpSpPr>
          <xdr:cNvPr id="2" name="Group 1">
            <a:extLst>
              <a:ext uri="{FF2B5EF4-FFF2-40B4-BE49-F238E27FC236}">
                <a16:creationId xmlns:a16="http://schemas.microsoft.com/office/drawing/2014/main" id="{E1D41DDC-7DCE-467E-AECE-A7E3BF7F1AA5}"/>
              </a:ext>
            </a:extLst>
          </xdr:cNvPr>
          <xdr:cNvGrpSpPr/>
        </xdr:nvGrpSpPr>
        <xdr:grpSpPr>
          <a:xfrm>
            <a:off x="7206728" y="8595032"/>
            <a:ext cx="8963838" cy="2799802"/>
            <a:chOff x="7060609" y="8498416"/>
            <a:chExt cx="9653129" cy="2984499"/>
          </a:xfrm>
        </xdr:grpSpPr>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7060609" y="8508343"/>
            <a:ext cx="2972391" cy="297457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39" name="Chart 38">
              <a:extLst>
                <a:ext uri="{FF2B5EF4-FFF2-40B4-BE49-F238E27FC236}">
                  <a16:creationId xmlns:a16="http://schemas.microsoft.com/office/drawing/2014/main" id="{5573FE29-E84C-4623-B5F8-0E943A0F0AC5}"/>
                </a:ext>
              </a:extLst>
            </xdr:cNvPr>
            <xdr:cNvGraphicFramePr>
              <a:graphicFrameLocks/>
            </xdr:cNvGraphicFramePr>
          </xdr:nvGraphicFramePr>
          <xdr:xfrm>
            <a:off x="10076672" y="8498416"/>
            <a:ext cx="3291840" cy="2977557"/>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41" name="Chart 40">
              <a:extLst>
                <a:ext uri="{FF2B5EF4-FFF2-40B4-BE49-F238E27FC236}">
                  <a16:creationId xmlns:a16="http://schemas.microsoft.com/office/drawing/2014/main" id="{32066DA3-7201-47E9-9D79-036BB43D17C6}"/>
                </a:ext>
              </a:extLst>
            </xdr:cNvPr>
            <xdr:cNvGraphicFramePr>
              <a:graphicFrameLocks/>
            </xdr:cNvGraphicFramePr>
          </xdr:nvGraphicFramePr>
          <xdr:xfrm>
            <a:off x="13421897" y="8498416"/>
            <a:ext cx="3291841" cy="2977557"/>
          </xdr:xfrm>
          <a:graphic>
            <a:graphicData uri="http://schemas.openxmlformats.org/drawingml/2006/chart">
              <c:chart xmlns:c="http://schemas.openxmlformats.org/drawingml/2006/chart" xmlns:r="http://schemas.openxmlformats.org/officeDocument/2006/relationships" r:id="rId9"/>
            </a:graphicData>
          </a:graphic>
        </xdr:graphicFrame>
        <xdr:cxnSp macro="">
          <xdr:nvCxnSpPr>
            <xdr:cNvPr id="43" name="Connector: Elbow 42">
              <a:extLst>
                <a:ext uri="{FF2B5EF4-FFF2-40B4-BE49-F238E27FC236}">
                  <a16:creationId xmlns:a16="http://schemas.microsoft.com/office/drawing/2014/main" id="{0A1B0AF1-FDEE-4B61-BF75-6B7CD18AA3F3}"/>
                </a:ext>
              </a:extLst>
            </xdr:cNvPr>
            <xdr:cNvCxnSpPr/>
          </xdr:nvCxnSpPr>
          <xdr:spPr>
            <a:xfrm>
              <a:off x="11017249" y="9309416"/>
              <a:ext cx="1443036" cy="241299"/>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Connector: Elbow 43">
              <a:extLst>
                <a:ext uri="{FF2B5EF4-FFF2-40B4-BE49-F238E27FC236}">
                  <a16:creationId xmlns:a16="http://schemas.microsoft.com/office/drawing/2014/main" id="{B7D7B9D2-3BF7-4609-9AD4-4A44BA779229}"/>
                </a:ext>
              </a:extLst>
            </xdr:cNvPr>
            <xdr:cNvCxnSpPr/>
          </xdr:nvCxnSpPr>
          <xdr:spPr>
            <a:xfrm>
              <a:off x="14351000" y="9472083"/>
              <a:ext cx="1443036" cy="19367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grpSp>
      <xdr:graphicFrame macro="">
        <xdr:nvGraphicFramePr>
          <xdr:cNvPr id="50" name="Chart 49">
            <a:extLst>
              <a:ext uri="{FF2B5EF4-FFF2-40B4-BE49-F238E27FC236}">
                <a16:creationId xmlns:a16="http://schemas.microsoft.com/office/drawing/2014/main" id="{0DE25274-0C06-43B8-8E28-0161019F2C7F}"/>
              </a:ext>
            </a:extLst>
          </xdr:cNvPr>
          <xdr:cNvGraphicFramePr>
            <a:graphicFrameLocks/>
          </xdr:cNvGraphicFramePr>
        </xdr:nvGraphicFramePr>
        <xdr:xfrm>
          <a:off x="11441603" y="9694475"/>
          <a:ext cx="1588942" cy="1663831"/>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1" name="Chart 50">
            <a:extLst>
              <a:ext uri="{FF2B5EF4-FFF2-40B4-BE49-F238E27FC236}">
                <a16:creationId xmlns:a16="http://schemas.microsoft.com/office/drawing/2014/main" id="{5560E883-6A3C-49E4-958E-3D256F2FF0C2}"/>
              </a:ext>
            </a:extLst>
          </xdr:cNvPr>
          <xdr:cNvGraphicFramePr>
            <a:graphicFrameLocks/>
          </xdr:cNvGraphicFramePr>
        </xdr:nvGraphicFramePr>
        <xdr:xfrm>
          <a:off x="14538068" y="9685490"/>
          <a:ext cx="1571445" cy="1676324"/>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xdr:col>
      <xdr:colOff>153629</xdr:colOff>
      <xdr:row>59</xdr:row>
      <xdr:rowOff>48372</xdr:rowOff>
    </xdr:from>
    <xdr:to>
      <xdr:col>19</xdr:col>
      <xdr:colOff>10242</xdr:colOff>
      <xdr:row>69</xdr:row>
      <xdr:rowOff>16007</xdr:rowOff>
    </xdr:to>
    <xdr:graphicFrame macro="">
      <xdr:nvGraphicFramePr>
        <xdr:cNvPr id="52" name="Chart 51">
          <a:extLst>
            <a:ext uri="{FF2B5EF4-FFF2-40B4-BE49-F238E27FC236}">
              <a16:creationId xmlns:a16="http://schemas.microsoft.com/office/drawing/2014/main" id="{C86ED55A-E635-4520-A168-134F3EB15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87396</xdr:colOff>
      <xdr:row>59</xdr:row>
      <xdr:rowOff>46772</xdr:rowOff>
    </xdr:from>
    <xdr:to>
      <xdr:col>12</xdr:col>
      <xdr:colOff>119351</xdr:colOff>
      <xdr:row>69</xdr:row>
      <xdr:rowOff>14407</xdr:rowOff>
    </xdr:to>
    <xdr:graphicFrame macro="">
      <xdr:nvGraphicFramePr>
        <xdr:cNvPr id="53" name="Chart 52">
          <a:extLst>
            <a:ext uri="{FF2B5EF4-FFF2-40B4-BE49-F238E27FC236}">
              <a16:creationId xmlns:a16="http://schemas.microsoft.com/office/drawing/2014/main" id="{49C88792-4D8F-4B5D-8540-F33816B66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89225</xdr:colOff>
      <xdr:row>69</xdr:row>
      <xdr:rowOff>172965</xdr:rowOff>
    </xdr:from>
    <xdr:to>
      <xdr:col>12</xdr:col>
      <xdr:colOff>121180</xdr:colOff>
      <xdr:row>82</xdr:row>
      <xdr:rowOff>65712</xdr:rowOff>
    </xdr:to>
    <xdr:graphicFrame macro="">
      <xdr:nvGraphicFramePr>
        <xdr:cNvPr id="54" name="Chart 53">
          <a:extLst>
            <a:ext uri="{FF2B5EF4-FFF2-40B4-BE49-F238E27FC236}">
              <a16:creationId xmlns:a16="http://schemas.microsoft.com/office/drawing/2014/main" id="{E81E1A18-C79B-45FB-9328-7ED63675A5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97640</xdr:colOff>
      <xdr:row>82</xdr:row>
      <xdr:rowOff>185720</xdr:rowOff>
    </xdr:from>
    <xdr:to>
      <xdr:col>3</xdr:col>
      <xdr:colOff>357130</xdr:colOff>
      <xdr:row>95</xdr:row>
      <xdr:rowOff>78467</xdr:rowOff>
    </xdr:to>
    <xdr:graphicFrame macro="">
      <xdr:nvGraphicFramePr>
        <xdr:cNvPr id="55" name="Chart 54">
          <a:extLst>
            <a:ext uri="{FF2B5EF4-FFF2-40B4-BE49-F238E27FC236}">
              <a16:creationId xmlns:a16="http://schemas.microsoft.com/office/drawing/2014/main" id="{C4C94DCB-718E-474D-AAEB-9EF3F3A0E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194597</xdr:colOff>
      <xdr:row>69</xdr:row>
      <xdr:rowOff>172625</xdr:rowOff>
    </xdr:from>
    <xdr:to>
      <xdr:col>18</xdr:col>
      <xdr:colOff>891048</xdr:colOff>
      <xdr:row>82</xdr:row>
      <xdr:rowOff>68768</xdr:rowOff>
    </xdr:to>
    <xdr:graphicFrame macro="">
      <xdr:nvGraphicFramePr>
        <xdr:cNvPr id="56" name="Chart 55">
          <a:extLst>
            <a:ext uri="{FF2B5EF4-FFF2-40B4-BE49-F238E27FC236}">
              <a16:creationId xmlns:a16="http://schemas.microsoft.com/office/drawing/2014/main" id="{4C3F7419-2685-461D-98C2-96E6D3C7B6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49162</xdr:colOff>
      <xdr:row>101</xdr:row>
      <xdr:rowOff>187085</xdr:rowOff>
    </xdr:from>
    <xdr:to>
      <xdr:col>20</xdr:col>
      <xdr:colOff>0</xdr:colOff>
      <xdr:row>113</xdr:row>
      <xdr:rowOff>184355</xdr:rowOff>
    </xdr:to>
    <xdr:graphicFrame macro="">
      <xdr:nvGraphicFramePr>
        <xdr:cNvPr id="37" name="Chart 36">
          <a:extLst>
            <a:ext uri="{FF2B5EF4-FFF2-40B4-BE49-F238E27FC236}">
              <a16:creationId xmlns:a16="http://schemas.microsoft.com/office/drawing/2014/main" id="{C68E0910-B78B-498C-A5FF-4BBF5656EB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501857</xdr:colOff>
      <xdr:row>69</xdr:row>
      <xdr:rowOff>184232</xdr:rowOff>
    </xdr:from>
    <xdr:to>
      <xdr:col>6</xdr:col>
      <xdr:colOff>932016</xdr:colOff>
      <xdr:row>82</xdr:row>
      <xdr:rowOff>81650</xdr:rowOff>
    </xdr:to>
    <xdr:graphicFrame macro="">
      <xdr:nvGraphicFramePr>
        <xdr:cNvPr id="38" name="Chart 37">
          <a:extLst>
            <a:ext uri="{FF2B5EF4-FFF2-40B4-BE49-F238E27FC236}">
              <a16:creationId xmlns:a16="http://schemas.microsoft.com/office/drawing/2014/main" id="{3B620386-20AC-4B7A-970E-8AEEB2C5AC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497796</xdr:colOff>
      <xdr:row>82</xdr:row>
      <xdr:rowOff>194597</xdr:rowOff>
    </xdr:from>
    <xdr:to>
      <xdr:col>6</xdr:col>
      <xdr:colOff>931398</xdr:colOff>
      <xdr:row>95</xdr:row>
      <xdr:rowOff>92013</xdr:rowOff>
    </xdr:to>
    <xdr:graphicFrame macro="">
      <xdr:nvGraphicFramePr>
        <xdr:cNvPr id="40" name="Chart 39">
          <a:extLst>
            <a:ext uri="{FF2B5EF4-FFF2-40B4-BE49-F238E27FC236}">
              <a16:creationId xmlns:a16="http://schemas.microsoft.com/office/drawing/2014/main" id="{DAF12036-7446-452F-8FFD-CD7E2B2FC5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81935</xdr:colOff>
      <xdr:row>22</xdr:row>
      <xdr:rowOff>65883</xdr:rowOff>
    </xdr:from>
    <xdr:to>
      <xdr:col>6</xdr:col>
      <xdr:colOff>932356</xdr:colOff>
      <xdr:row>36</xdr:row>
      <xdr:rowOff>15753</xdr:rowOff>
    </xdr:to>
    <xdr:graphicFrame macro="">
      <xdr:nvGraphicFramePr>
        <xdr:cNvPr id="42" name="Chart 41">
          <a:extLst>
            <a:ext uri="{FF2B5EF4-FFF2-40B4-BE49-F238E27FC236}">
              <a16:creationId xmlns:a16="http://schemas.microsoft.com/office/drawing/2014/main" id="{094A7ED5-9268-466F-A1F1-42F9611D6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71694</xdr:colOff>
      <xdr:row>36</xdr:row>
      <xdr:rowOff>86024</xdr:rowOff>
    </xdr:from>
    <xdr:to>
      <xdr:col>6</xdr:col>
      <xdr:colOff>942259</xdr:colOff>
      <xdr:row>48</xdr:row>
      <xdr:rowOff>109636</xdr:rowOff>
    </xdr:to>
    <xdr:graphicFrame macro="">
      <xdr:nvGraphicFramePr>
        <xdr:cNvPr id="57" name="Chart 56">
          <a:extLst>
            <a:ext uri="{FF2B5EF4-FFF2-40B4-BE49-F238E27FC236}">
              <a16:creationId xmlns:a16="http://schemas.microsoft.com/office/drawing/2014/main" id="{902F41E2-3BF4-4846-9543-6E2D372B8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62135</xdr:colOff>
      <xdr:row>22</xdr:row>
      <xdr:rowOff>61451</xdr:rowOff>
    </xdr:from>
    <xdr:to>
      <xdr:col>18</xdr:col>
      <xdr:colOff>839838</xdr:colOff>
      <xdr:row>37</xdr:row>
      <xdr:rowOff>144821</xdr:rowOff>
    </xdr:to>
    <xdr:graphicFrame macro="">
      <xdr:nvGraphicFramePr>
        <xdr:cNvPr id="58" name="Chart 57">
          <a:extLst>
            <a:ext uri="{FF2B5EF4-FFF2-40B4-BE49-F238E27FC236}">
              <a16:creationId xmlns:a16="http://schemas.microsoft.com/office/drawing/2014/main" id="{6C8FEA01-D50A-422C-AEE7-E5D47186BD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71693</xdr:colOff>
      <xdr:row>55</xdr:row>
      <xdr:rowOff>112661</xdr:rowOff>
    </xdr:from>
    <xdr:to>
      <xdr:col>18</xdr:col>
      <xdr:colOff>829597</xdr:colOff>
      <xdr:row>57</xdr:row>
      <xdr:rowOff>112662</xdr:rowOff>
    </xdr:to>
    <xdr:sp macro="" textlink="">
      <xdr:nvSpPr>
        <xdr:cNvPr id="4" name="TextBox 3">
          <a:extLst>
            <a:ext uri="{FF2B5EF4-FFF2-40B4-BE49-F238E27FC236}">
              <a16:creationId xmlns:a16="http://schemas.microsoft.com/office/drawing/2014/main" id="{452EBF02-3084-42C4-B7E3-22E73EBBF7B7}"/>
            </a:ext>
          </a:extLst>
        </xdr:cNvPr>
        <xdr:cNvSpPr txBox="1"/>
      </xdr:nvSpPr>
      <xdr:spPr>
        <a:xfrm>
          <a:off x="7118145" y="9996129"/>
          <a:ext cx="8941210" cy="36871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5">
                  <a:lumMod val="75000"/>
                </a:schemeClr>
              </a:solidFill>
            </a:rPr>
            <a:t>Average repair time per water point = </a:t>
          </a:r>
          <a:r>
            <a:rPr lang="en-US" sz="1600" b="1">
              <a:solidFill>
                <a:schemeClr val="accent5">
                  <a:lumMod val="75000"/>
                </a:schemeClr>
              </a:solidFill>
            </a:rPr>
            <a:t>25</a:t>
          </a:r>
          <a:r>
            <a:rPr lang="en-US" sz="1200" b="1">
              <a:solidFill>
                <a:schemeClr val="accent5">
                  <a:lumMod val="75000"/>
                </a:schemeClr>
              </a:solidFill>
            </a:rPr>
            <a:t> days</a:t>
          </a:r>
        </a:p>
      </xdr:txBody>
    </xdr:sp>
    <xdr:clientData/>
  </xdr:twoCellAnchor>
  <xdr:twoCellAnchor>
    <xdr:from>
      <xdr:col>16</xdr:col>
      <xdr:colOff>624758</xdr:colOff>
      <xdr:row>4</xdr:row>
      <xdr:rowOff>20484</xdr:rowOff>
    </xdr:from>
    <xdr:to>
      <xdr:col>18</xdr:col>
      <xdr:colOff>818087</xdr:colOff>
      <xdr:row>8</xdr:row>
      <xdr:rowOff>51210</xdr:rowOff>
    </xdr:to>
    <xdr:sp macro="" textlink="">
      <xdr:nvSpPr>
        <xdr:cNvPr id="62" name="TextBox 61">
          <a:hlinkClick xmlns:r="http://schemas.openxmlformats.org/officeDocument/2006/relationships" r:id="rId23"/>
          <a:extLst>
            <a:ext uri="{FF2B5EF4-FFF2-40B4-BE49-F238E27FC236}">
              <a16:creationId xmlns:a16="http://schemas.microsoft.com/office/drawing/2014/main" id="{7B7DE494-49B5-41D0-B14E-ED4E4540A9D5}"/>
            </a:ext>
          </a:extLst>
        </xdr:cNvPr>
        <xdr:cNvSpPr txBox="1"/>
      </xdr:nvSpPr>
      <xdr:spPr>
        <a:xfrm>
          <a:off x="14482097" y="1095887"/>
          <a:ext cx="1565748" cy="686210"/>
        </a:xfrm>
        <a:prstGeom prst="rect">
          <a:avLst/>
        </a:prstGeom>
        <a:solidFill>
          <a:schemeClr val="accent4">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solidFill>
            </a:rPr>
            <a:t>Specific WASH community feedback</a:t>
          </a:r>
        </a:p>
        <a:p>
          <a:r>
            <a:rPr lang="en-US" sz="1000" b="1" baseline="0">
              <a:solidFill>
                <a:schemeClr val="bg1"/>
              </a:solidFill>
            </a:rPr>
            <a:t>(click here)</a:t>
          </a:r>
          <a:endParaRPr lang="en-US" sz="1000" b="1">
            <a:solidFill>
              <a:schemeClr val="bg1"/>
            </a:solidFill>
          </a:endParaRPr>
        </a:p>
      </xdr:txBody>
    </xdr:sp>
    <xdr:clientData/>
  </xdr:twoCellAnchor>
  <xdr:twoCellAnchor>
    <xdr:from>
      <xdr:col>7</xdr:col>
      <xdr:colOff>92176</xdr:colOff>
      <xdr:row>82</xdr:row>
      <xdr:rowOff>92177</xdr:rowOff>
    </xdr:from>
    <xdr:to>
      <xdr:col>18</xdr:col>
      <xdr:colOff>901290</xdr:colOff>
      <xdr:row>86</xdr:row>
      <xdr:rowOff>184356</xdr:rowOff>
    </xdr:to>
    <xdr:sp macro="" textlink="">
      <xdr:nvSpPr>
        <xdr:cNvPr id="63" name="TextBox 62">
          <a:extLst>
            <a:ext uri="{FF2B5EF4-FFF2-40B4-BE49-F238E27FC236}">
              <a16:creationId xmlns:a16="http://schemas.microsoft.com/office/drawing/2014/main" id="{E59C7AAB-3E04-4A92-AC0F-8BC33D242430}"/>
            </a:ext>
          </a:extLst>
        </xdr:cNvPr>
        <xdr:cNvSpPr txBox="1"/>
      </xdr:nvSpPr>
      <xdr:spPr>
        <a:xfrm>
          <a:off x="7138628" y="16264193"/>
          <a:ext cx="8992420" cy="9115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2">
                  <a:lumMod val="50000"/>
                </a:schemeClr>
              </a:solidFill>
            </a:rPr>
            <a:t>1. Total </a:t>
          </a:r>
          <a:r>
            <a:rPr lang="en-US" sz="1600" b="1">
              <a:solidFill>
                <a:schemeClr val="accent2">
                  <a:lumMod val="50000"/>
                </a:schemeClr>
              </a:solidFill>
            </a:rPr>
            <a:t>4,253</a:t>
          </a:r>
          <a:r>
            <a:rPr lang="en-US" sz="1200" b="1">
              <a:solidFill>
                <a:schemeClr val="accent2">
                  <a:lumMod val="50000"/>
                </a:schemeClr>
              </a:solidFill>
            </a:rPr>
            <a:t> m3 of fecal sludge removed from the camps</a:t>
          </a:r>
        </a:p>
        <a:p>
          <a:r>
            <a:rPr lang="en-US" sz="1200" b="1">
              <a:solidFill>
                <a:schemeClr val="accent2">
                  <a:lumMod val="50000"/>
                </a:schemeClr>
              </a:solidFill>
            </a:rPr>
            <a:t>2.  overall average</a:t>
          </a:r>
          <a:r>
            <a:rPr lang="en-US" sz="1200" b="1" baseline="0">
              <a:solidFill>
                <a:schemeClr val="accent2">
                  <a:lumMod val="50000"/>
                </a:schemeClr>
              </a:solidFill>
            </a:rPr>
            <a:t> </a:t>
          </a:r>
          <a:r>
            <a:rPr lang="en-US" sz="1600" b="1" baseline="0">
              <a:solidFill>
                <a:schemeClr val="accent2">
                  <a:lumMod val="50000"/>
                </a:schemeClr>
              </a:solidFill>
            </a:rPr>
            <a:t>41</a:t>
          </a:r>
          <a:r>
            <a:rPr lang="en-US" sz="1200" b="1" baseline="0">
              <a:solidFill>
                <a:schemeClr val="accent2">
                  <a:lumMod val="50000"/>
                </a:schemeClr>
              </a:solidFill>
            </a:rPr>
            <a:t> % of Open Defecation within 15ft of latrines</a:t>
          </a:r>
        </a:p>
        <a:p>
          <a:r>
            <a:rPr lang="en-US" sz="1200" b="1" baseline="0">
              <a:solidFill>
                <a:schemeClr val="accent2">
                  <a:lumMod val="50000"/>
                </a:schemeClr>
              </a:solidFill>
            </a:rPr>
            <a:t>3.  </a:t>
          </a:r>
          <a:r>
            <a:rPr lang="en-US" sz="1600" b="1" baseline="0">
              <a:solidFill>
                <a:schemeClr val="accent2">
                  <a:lumMod val="50000"/>
                </a:schemeClr>
              </a:solidFill>
            </a:rPr>
            <a:t>116</a:t>
          </a:r>
          <a:r>
            <a:rPr lang="en-US" sz="1200" b="1" baseline="0">
              <a:solidFill>
                <a:schemeClr val="accent2">
                  <a:lumMod val="50000"/>
                </a:schemeClr>
              </a:solidFill>
            </a:rPr>
            <a:t> Number of functioning children latrine reported</a:t>
          </a:r>
          <a:endParaRPr lang="en-US" sz="1200" b="1">
            <a:solidFill>
              <a:schemeClr val="accent2">
                <a:lumMod val="50000"/>
              </a:schemeClr>
            </a:solidFill>
          </a:endParaRPr>
        </a:p>
      </xdr:txBody>
    </xdr:sp>
    <xdr:clientData/>
  </xdr:twoCellAnchor>
  <xdr:twoCellAnchor>
    <xdr:from>
      <xdr:col>13</xdr:col>
      <xdr:colOff>327741</xdr:colOff>
      <xdr:row>89</xdr:row>
      <xdr:rowOff>112662</xdr:rowOff>
    </xdr:from>
    <xdr:to>
      <xdr:col>19</xdr:col>
      <xdr:colOff>45064</xdr:colOff>
      <xdr:row>101</xdr:row>
      <xdr:rowOff>133145</xdr:rowOff>
    </xdr:to>
    <xdr:graphicFrame macro="">
      <xdr:nvGraphicFramePr>
        <xdr:cNvPr id="64" name="Chart 63">
          <a:extLst>
            <a:ext uri="{FF2B5EF4-FFF2-40B4-BE49-F238E27FC236}">
              <a16:creationId xmlns:a16="http://schemas.microsoft.com/office/drawing/2014/main" id="{1F227FD2-2784-49C0-893B-AF10DC915D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92181</xdr:colOff>
      <xdr:row>68</xdr:row>
      <xdr:rowOff>92177</xdr:rowOff>
    </xdr:from>
    <xdr:to>
      <xdr:col>7</xdr:col>
      <xdr:colOff>0</xdr:colOff>
      <xdr:row>69</xdr:row>
      <xdr:rowOff>119953</xdr:rowOff>
    </xdr:to>
    <xdr:sp macro="" textlink="">
      <xdr:nvSpPr>
        <xdr:cNvPr id="66" name="TextBox 45">
          <a:extLst>
            <a:ext uri="{FF2B5EF4-FFF2-40B4-BE49-F238E27FC236}">
              <a16:creationId xmlns:a16="http://schemas.microsoft.com/office/drawing/2014/main" id="{709BAD81-440F-42F4-AF5B-AB93650F6D69}"/>
            </a:ext>
          </a:extLst>
        </xdr:cNvPr>
        <xdr:cNvSpPr txBox="1"/>
      </xdr:nvSpPr>
      <xdr:spPr>
        <a:xfrm>
          <a:off x="92181" y="13263306"/>
          <a:ext cx="6954271" cy="365760"/>
        </a:xfrm>
        <a:prstGeom prst="rect">
          <a:avLst/>
        </a:prstGeom>
        <a:solidFill>
          <a:srgbClr val="7030A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Education - WASH in TLS/CFS</a:t>
          </a:r>
          <a:r>
            <a:rPr lang="en-US" sz="1200" b="1" i="0" baseline="0">
              <a:solidFill>
                <a:schemeClr val="bg1"/>
              </a:solidFill>
              <a:effectLst/>
              <a:latin typeface="+mn-lt"/>
              <a:ea typeface="+mn-ea"/>
              <a:cs typeface="+mn-cs"/>
            </a:rPr>
            <a:t>		                                      </a:t>
          </a:r>
          <a:endParaRPr lang="en-US" sz="1200">
            <a:solidFill>
              <a:schemeClr val="bg1"/>
            </a:solidFill>
            <a:effectLst/>
          </a:endParaRPr>
        </a:p>
      </xdr:txBody>
    </xdr:sp>
    <xdr:clientData/>
  </xdr:twoCellAnchor>
  <xdr:twoCellAnchor>
    <xdr:from>
      <xdr:col>0</xdr:col>
      <xdr:colOff>61452</xdr:colOff>
      <xdr:row>106</xdr:row>
      <xdr:rowOff>0</xdr:rowOff>
    </xdr:from>
    <xdr:to>
      <xdr:col>6</xdr:col>
      <xdr:colOff>952499</xdr:colOff>
      <xdr:row>113</xdr:row>
      <xdr:rowOff>163871</xdr:rowOff>
    </xdr:to>
    <xdr:sp macro="" textlink="">
      <xdr:nvSpPr>
        <xdr:cNvPr id="67" name="TextBox 66">
          <a:extLst>
            <a:ext uri="{FF2B5EF4-FFF2-40B4-BE49-F238E27FC236}">
              <a16:creationId xmlns:a16="http://schemas.microsoft.com/office/drawing/2014/main" id="{DC2DF570-08CF-44FB-8094-65E9DD4D4DBB}"/>
            </a:ext>
          </a:extLst>
        </xdr:cNvPr>
        <xdr:cNvSpPr txBox="1"/>
      </xdr:nvSpPr>
      <xdr:spPr>
        <a:xfrm>
          <a:off x="61452" y="21088145"/>
          <a:ext cx="6964515" cy="1597742"/>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2">
                  <a:lumMod val="50000"/>
                </a:schemeClr>
              </a:solidFill>
            </a:rPr>
            <a:t>1. Total </a:t>
          </a:r>
          <a:r>
            <a:rPr lang="en-US" sz="1600" b="1">
              <a:solidFill>
                <a:schemeClr val="accent2">
                  <a:lumMod val="50000"/>
                </a:schemeClr>
              </a:solidFill>
            </a:rPr>
            <a:t>2,298</a:t>
          </a:r>
          <a:r>
            <a:rPr lang="en-US" sz="1200" b="1">
              <a:solidFill>
                <a:schemeClr val="accent2">
                  <a:lumMod val="50000"/>
                </a:schemeClr>
              </a:solidFill>
            </a:rPr>
            <a:t> camp paid</a:t>
          </a:r>
          <a:r>
            <a:rPr lang="en-US" sz="1200" b="1" baseline="0">
              <a:solidFill>
                <a:schemeClr val="accent2">
                  <a:lumMod val="50000"/>
                </a:schemeClr>
              </a:solidFill>
            </a:rPr>
            <a:t> staff (skilled &amp; unskilled)</a:t>
          </a:r>
          <a:endParaRPr lang="en-US" sz="1200" b="1">
            <a:solidFill>
              <a:schemeClr val="accent2">
                <a:lumMod val="50000"/>
              </a:schemeClr>
            </a:solidFill>
          </a:endParaRPr>
        </a:p>
        <a:p>
          <a:r>
            <a:rPr lang="en-US" sz="1200" b="1">
              <a:solidFill>
                <a:schemeClr val="accent2">
                  <a:lumMod val="50000"/>
                </a:schemeClr>
              </a:solidFill>
            </a:rPr>
            <a:t>2.  </a:t>
          </a:r>
          <a:r>
            <a:rPr lang="en-US" sz="1600" b="1">
              <a:solidFill>
                <a:schemeClr val="accent2">
                  <a:lumMod val="50000"/>
                </a:schemeClr>
              </a:solidFill>
            </a:rPr>
            <a:t>329 </a:t>
          </a:r>
          <a:r>
            <a:rPr lang="en-US" sz="1200" b="1">
              <a:solidFill>
                <a:schemeClr val="accent2">
                  <a:lumMod val="50000"/>
                </a:schemeClr>
              </a:solidFill>
            </a:rPr>
            <a:t>men and </a:t>
          </a:r>
          <a:r>
            <a:rPr lang="en-US" sz="1600" b="1">
              <a:solidFill>
                <a:schemeClr val="accent2">
                  <a:lumMod val="50000"/>
                </a:schemeClr>
              </a:solidFill>
            </a:rPr>
            <a:t>233</a:t>
          </a:r>
          <a:r>
            <a:rPr lang="en-US" sz="1200" b="1">
              <a:solidFill>
                <a:schemeClr val="accent2">
                  <a:lumMod val="50000"/>
                </a:schemeClr>
              </a:solidFill>
            </a:rPr>
            <a:t>  women in camp WASH committee</a:t>
          </a:r>
          <a:endParaRPr lang="en-US" sz="1200" b="1" baseline="0">
            <a:solidFill>
              <a:schemeClr val="accent2">
                <a:lumMod val="50000"/>
              </a:schemeClr>
            </a:solidFill>
          </a:endParaRPr>
        </a:p>
        <a:p>
          <a:r>
            <a:rPr lang="en-US" sz="1200" b="1" baseline="0">
              <a:solidFill>
                <a:schemeClr val="accent2">
                  <a:lumMod val="50000"/>
                </a:schemeClr>
              </a:solidFill>
            </a:rPr>
            <a:t>3.  Camp closure indicators are included but limited data was reported in this quarter</a:t>
          </a:r>
          <a:endParaRPr lang="en-US" sz="1200" b="1">
            <a:solidFill>
              <a:schemeClr val="accent2">
                <a:lumMod val="50000"/>
              </a:schemeClr>
            </a:solidFill>
          </a:endParaRPr>
        </a:p>
      </xdr:txBody>
    </xdr:sp>
    <xdr:clientData/>
  </xdr:twoCellAnchor>
  <xdr:twoCellAnchor>
    <xdr:from>
      <xdr:col>0</xdr:col>
      <xdr:colOff>81937</xdr:colOff>
      <xdr:row>97</xdr:row>
      <xdr:rowOff>20483</xdr:rowOff>
    </xdr:from>
    <xdr:to>
      <xdr:col>7</xdr:col>
      <xdr:colOff>715</xdr:colOff>
      <xdr:row>98</xdr:row>
      <xdr:rowOff>181405</xdr:rowOff>
    </xdr:to>
    <xdr:sp macro="" textlink="">
      <xdr:nvSpPr>
        <xdr:cNvPr id="68" name="TextBox 45">
          <a:extLst>
            <a:ext uri="{FF2B5EF4-FFF2-40B4-BE49-F238E27FC236}">
              <a16:creationId xmlns:a16="http://schemas.microsoft.com/office/drawing/2014/main" id="{15719E13-9F75-42D7-9750-6AB1346075E1}"/>
            </a:ext>
          </a:extLst>
        </xdr:cNvPr>
        <xdr:cNvSpPr txBox="1"/>
      </xdr:nvSpPr>
      <xdr:spPr>
        <a:xfrm>
          <a:off x="81937" y="19265080"/>
          <a:ext cx="6944746" cy="36576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Health</a:t>
          </a:r>
          <a:endParaRPr lang="en-US" sz="1200">
            <a:solidFill>
              <a:schemeClr val="bg1"/>
            </a:solidFill>
            <a:effectLst/>
          </a:endParaRPr>
        </a:p>
      </xdr:txBody>
    </xdr:sp>
    <xdr:clientData/>
  </xdr:twoCellAnchor>
  <xdr:twoCellAnchor>
    <xdr:from>
      <xdr:col>1</xdr:col>
      <xdr:colOff>10243</xdr:colOff>
      <xdr:row>94</xdr:row>
      <xdr:rowOff>61451</xdr:rowOff>
    </xdr:from>
    <xdr:to>
      <xdr:col>6</xdr:col>
      <xdr:colOff>921774</xdr:colOff>
      <xdr:row>96</xdr:row>
      <xdr:rowOff>133145</xdr:rowOff>
    </xdr:to>
    <xdr:sp macro="" textlink="">
      <xdr:nvSpPr>
        <xdr:cNvPr id="45" name="TextBox 62">
          <a:extLst>
            <a:ext uri="{FF2B5EF4-FFF2-40B4-BE49-F238E27FC236}">
              <a16:creationId xmlns:a16="http://schemas.microsoft.com/office/drawing/2014/main" id="{F6AEA9F7-485E-42EF-A027-68F473E7B6A3}"/>
            </a:ext>
          </a:extLst>
        </xdr:cNvPr>
        <xdr:cNvSpPr txBox="1"/>
      </xdr:nvSpPr>
      <xdr:spPr>
        <a:xfrm>
          <a:off x="112662" y="18691532"/>
          <a:ext cx="6882580" cy="481371"/>
        </a:xfrm>
        <a:prstGeom prst="rect">
          <a:avLst/>
        </a:prstGeom>
        <a:solidFill>
          <a:srgbClr val="E4B6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200" b="1">
              <a:solidFill>
                <a:srgbClr val="7030A0"/>
              </a:solidFill>
            </a:rPr>
            <a:t>WASH cluster is liaising</a:t>
          </a:r>
          <a:r>
            <a:rPr lang="en-US" sz="1200" b="1" baseline="0">
              <a:solidFill>
                <a:srgbClr val="7030A0"/>
              </a:solidFill>
            </a:rPr>
            <a:t> with Education to get more WinS information. </a:t>
          </a:r>
          <a:endParaRPr lang="en-US" sz="1200" b="1">
            <a:solidFill>
              <a:srgbClr val="7030A0"/>
            </a:solidFill>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0.87383</cdr:x>
      <cdr:y>0.13572</cdr:y>
    </cdr:from>
    <cdr:to>
      <cdr:x>0.9808</cdr:x>
      <cdr:y>0.21845</cdr:y>
    </cdr:to>
    <cdr:sp macro="" textlink="">
      <cdr:nvSpPr>
        <cdr:cNvPr id="2" name="Rectangle 1">
          <a:extLst xmlns:a="http://schemas.openxmlformats.org/drawingml/2006/main">
            <a:ext uri="{FF2B5EF4-FFF2-40B4-BE49-F238E27FC236}">
              <a16:creationId xmlns:a16="http://schemas.microsoft.com/office/drawing/2014/main" id="{85DE782C-CBDE-49F8-85B4-BE015557B8B5}"/>
            </a:ext>
          </a:extLst>
        </cdr:cNvPr>
        <cdr:cNvSpPr/>
      </cdr:nvSpPr>
      <cdr:spPr>
        <a:xfrm xmlns:a="http://schemas.openxmlformats.org/drawingml/2006/main">
          <a:off x="6059074" y="438005"/>
          <a:ext cx="741745" cy="26698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200" b="1">
              <a:solidFill>
                <a:srgbClr val="0070C0"/>
              </a:solidFill>
            </a:rPr>
            <a:t>+3,242</a:t>
          </a:r>
        </a:p>
      </cdr:txBody>
    </cdr:sp>
  </cdr:relSizeAnchor>
  <cdr:relSizeAnchor xmlns:cdr="http://schemas.openxmlformats.org/drawingml/2006/chartDrawing">
    <cdr:from>
      <cdr:x>0.87424</cdr:x>
      <cdr:y>0.62062</cdr:y>
    </cdr:from>
    <cdr:to>
      <cdr:x>0.97046</cdr:x>
      <cdr:y>0.68814</cdr:y>
    </cdr:to>
    <cdr:sp macro="" textlink="">
      <cdr:nvSpPr>
        <cdr:cNvPr id="3" name="Rectangle 2">
          <a:extLst xmlns:a="http://schemas.openxmlformats.org/drawingml/2006/main">
            <a:ext uri="{FF2B5EF4-FFF2-40B4-BE49-F238E27FC236}">
              <a16:creationId xmlns:a16="http://schemas.microsoft.com/office/drawing/2014/main" id="{85DE782C-CBDE-49F8-85B4-BE015557B8B5}"/>
            </a:ext>
          </a:extLst>
        </cdr:cNvPr>
        <cdr:cNvSpPr/>
      </cdr:nvSpPr>
      <cdr:spPr>
        <a:xfrm xmlns:a="http://schemas.openxmlformats.org/drawingml/2006/main">
          <a:off x="6061977" y="2002900"/>
          <a:ext cx="667150" cy="21789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200" b="1">
              <a:solidFill>
                <a:srgbClr val="0070C0"/>
              </a:solidFill>
            </a:rPr>
            <a:t>+7,264</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nance\Delegates\Delegate%20Per%20Diem%2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haw/Mee%20Mee/2.%20Information%20Management/B_%204%20W/002.%204Ws%20matrix/001.New%204%20W/2019/Data%20Entry/Core_File_Myanmar_WASH_4W_2019_Q2%20-%2017062019%20-KachinSh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thaw/Mee%20Mee/2.%20Information%20Management/C_Camp%20Info/2.%20CCCM%20Camp%20list/Kachin/2019/shelter-nfi-cccm_kachin_northern_shan_cluster_analysis_report_march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thaw/Mee%20Mee/2.%20Information%20Management/J_Funding/2019/2019_Q2/2019-07-31_Funding%20Matrix_2019_Q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ty Sheet"/>
      <sheetName val="PD Sheet"/>
      <sheetName val="Data"/>
      <sheetName val="Sheet5"/>
      <sheetName val="Fund_Analysis_Rakhine"/>
      <sheetName val="Lookup"/>
    </sheetNames>
    <sheetDataSet>
      <sheetData sheetId="0"/>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heet2"/>
      <sheetName val="DATABASE"/>
      <sheetName val="Site_DB"/>
      <sheetName val="Indicator Summary  Eng"/>
      <sheetName val="Indicator Summary  MM"/>
      <sheetName val="HRP Calculations"/>
      <sheetName val="Sheet1"/>
      <sheetName val="Lookup"/>
      <sheetName val="Core_File_Myanmar_WASH_4W_2019_"/>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P locations"/>
      <sheetName val="DistanceToCamp"/>
      <sheetName val="Definition"/>
      <sheetName val="Graphs"/>
      <sheetName val="IDP location Analysis"/>
      <sheetName val="CCCM Dashboard"/>
      <sheetName val="Map"/>
      <sheetName val="ForGIS"/>
      <sheetName val="Shelter Cross Check"/>
      <sheetName val="IDP locations (printable)"/>
      <sheetName val="Relocation"/>
      <sheetName val="Shelter Gap Analysis"/>
      <sheetName val="Define_TCL"/>
      <sheetName val="Shelter Coverage Camp"/>
      <sheetName val="Shelter Solution"/>
      <sheetName val="Shelter overview"/>
      <sheetName val="NFI Stock and Pipeline"/>
      <sheetName val="NFI Distributions"/>
      <sheetName val="Winter Item"/>
      <sheetName val="NFI Summary"/>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akhine_funding_matrix"/>
      <sheetName val="Kachin-shan_funding_matrix"/>
      <sheetName val="fund received by partners"/>
      <sheetName val="Funding Tracking"/>
      <sheetName val="Timelinebysite"/>
      <sheetName val="Sheet5"/>
      <sheetName val="National_Analysis by donor"/>
      <sheetName val="Sheet1"/>
      <sheetName val="National"/>
      <sheetName val="Fund_Analysis_Rakhine"/>
      <sheetName val="Fund_Analysis_Kachin-shan"/>
      <sheetName val="Rakhine Analysis 2"/>
      <sheetName val="Kachin Analysi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D3" t="str">
            <v>Cumulative Funding Received for 2019</v>
          </cell>
          <cell r="E3" t="str">
            <v>Gap</v>
          </cell>
        </row>
        <row r="4">
          <cell r="B4" t="str">
            <v>Kachin/Shan</v>
          </cell>
          <cell r="D4">
            <v>2534012.0007450287</v>
          </cell>
          <cell r="E4">
            <v>4965987.9992549717</v>
          </cell>
        </row>
        <row r="5">
          <cell r="B5" t="str">
            <v>Rakhine</v>
          </cell>
          <cell r="D5">
            <v>9716875.0312438626</v>
          </cell>
          <cell r="E5">
            <v>9983124.9687561374</v>
          </cell>
        </row>
        <row r="6">
          <cell r="B6" t="str">
            <v>National (Total)</v>
          </cell>
          <cell r="D6">
            <v>12250887.031988891</v>
          </cell>
          <cell r="E6">
            <v>14949112.968011109</v>
          </cell>
        </row>
      </sheetData>
      <sheetData sheetId="10" refreshError="1"/>
      <sheetData sheetId="11" refreshError="1"/>
      <sheetData sheetId="12" refreshError="1"/>
      <sheetData sheetId="1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3690.61175034722" createdVersion="6" refreshedVersion="6" minRefreshableVersion="3" recordCount="25" xr:uid="{00000000-000A-0000-FFFF-FFFF00000000}">
  <cacheSource type="worksheet">
    <worksheetSource name="WWWW"/>
  </cacheSource>
  <cacheFields count="114">
    <cacheField name="Reporting Period" numFmtId="167">
      <sharedItems containsBlank="1" count="12">
        <s v="2019_Q2"/>
        <m u="1"/>
        <s v="2018-Q1" u="1"/>
        <s v="2018  Q1" u="1"/>
        <s v="2019_Q1" u="1"/>
        <s v="2018_Q1" u="1"/>
        <s v="2018_Q2" u="1"/>
        <s v="2018_Q3" u="1"/>
        <s v="2018_Q4" u="1"/>
        <s v="2017_Q3" u="1"/>
        <s v="2017_Q4" u="1"/>
        <s v="2018 -Q1" u="1"/>
      </sharedItems>
    </cacheField>
    <cacheField name="WASH project agency" numFmtId="0">
      <sharedItems containsBlank="1" count="43">
        <s v="SI"/>
        <s v="OXSI (SI)"/>
        <s v="OXSI (Oxfam)"/>
        <s v="CDA"/>
        <s v="MA_UK"/>
        <s v="DRC"/>
        <s v="SCI"/>
        <s v="RI"/>
        <m u="1"/>
        <s v="KBC" u="1"/>
        <s v="OXSI(Oxfam), MA_UK" u="1"/>
        <s v="KMSS" u="1"/>
        <s v="MRCS" u="1"/>
        <s v="Shalom" u="1"/>
        <s v="Metta, KMSS" u="1"/>
        <s v="MRCS,Others/ WVI" u="1"/>
        <s v="MRCS,Others,UNICEF/ACF" u="1"/>
        <s v="PIN" u="1"/>
        <s v="MRCS,others" u="1"/>
        <s v="OXSI (Oxfam),ACF" u="1"/>
        <s v="Others/ WVI" u="1"/>
        <s v="KBC, KMSS" u="1"/>
        <s v="Others,MRCS" u="1"/>
        <s v="Others" u="1"/>
        <s v="MRCS, PLAN, RI,Others" u="1"/>
        <s v="UNICEF" u="1"/>
        <s v="ACF" u="1"/>
        <s v="UNICEF,Others" u="1"/>
        <s v="MRCS, PLAN, RI" u="1"/>
        <s v="None" u="1"/>
        <s v="Metta" u="1"/>
        <s v="MRCS, Others" u="1"/>
        <s v="GIZ" u="1"/>
        <s v="WVI" u="1"/>
        <s v="WPN" u="1"/>
        <s v="MRCS,Others,UNICEF" u="1"/>
        <s v="CARE" u="1"/>
        <s v="CARE,Others" u="1"/>
        <s v="MRCS,UNICEF" u="1"/>
        <s v="OXSI (SI), ACF" u="1"/>
        <s v="Malteser" u="1"/>
        <s v="SCI, Metta" u="1"/>
        <s v="CDN" u="1"/>
      </sharedItems>
    </cacheField>
    <cacheField name="WASH implementing agency" numFmtId="0">
      <sharedItems containsBlank="1" count="42">
        <s v="SI"/>
        <s v="OXSI (SI)"/>
        <s v="OXSI (Oxfam)"/>
        <s v="CDA"/>
        <s v="MA_UK"/>
        <s v="DRC"/>
        <s v="SCI"/>
        <s v="RI"/>
        <m u="1"/>
        <s v="KBC" u="1"/>
        <s v="OXSI(Oxfam), MA_UK" u="1"/>
        <s v="KMSS" u="1"/>
        <s v="MRCS" u="1"/>
        <s v="Shalom" u="1"/>
        <s v="Metta, KMSS" u="1"/>
        <s v="MRCS,Others/ WVI" u="1"/>
        <s v="MRCS,others" u="1"/>
        <s v="Others/ WVI" u="1"/>
        <s v="KBC, KMSS" u="1"/>
        <s v="MHDO" u="1"/>
        <s v="Others,MRCS" u="1"/>
        <s v="Others" u="1"/>
        <s v="MRCS, PLAN, RI,Others" u="1"/>
        <s v="UNICEF" u="1"/>
        <s v="ACF" u="1"/>
        <s v="MRCS, ACF" u="1"/>
        <s v="UNICEF/ UNHCR/UNFPA" u="1"/>
        <s v="UNICEF,Others" u="1"/>
        <s v="WFP" u="1"/>
        <s v="MRCS, PLAN, RI" u="1"/>
        <s v="None" u="1"/>
        <s v="Metta" u="1"/>
        <s v="MRCS, Others" u="1"/>
        <s v="MRCS,Others,ACF" u="1"/>
        <s v="GIZ" u="1"/>
        <s v="WPN" u="1"/>
        <s v="CARE" u="1"/>
        <s v="CARE,Others" u="1"/>
        <s v="Malteser" u="1"/>
        <s v="SCI, Metta" u="1"/>
        <s v="CDN" u="1"/>
        <s v="MRCS,ACF" u="1"/>
      </sharedItems>
    </cacheField>
    <cacheField name="Primary Donor covering WASH activities at site " numFmtId="0">
      <sharedItems containsBlank="1"/>
    </cacheField>
    <cacheField name="State" numFmtId="0">
      <sharedItems containsBlank="1" count="6">
        <s v="Central Rakhine"/>
        <m u="1"/>
        <s v="Shan (North)" u="1"/>
        <s v="Kachin" u="1"/>
        <s v="Rakhine" u="1"/>
        <s v="Northern Rakhine" u="1"/>
      </sharedItems>
    </cacheField>
    <cacheField name="Township" numFmtId="0">
      <sharedItems containsBlank="1" count="41">
        <s v="Pauktaw"/>
        <s v="Sittwe"/>
        <s v="Kyaukpyu"/>
        <s v="Kyauktaw"/>
        <s v="Myebon"/>
        <m u="1"/>
        <s v="Mohyin" u="1"/>
        <s v="Kutkai" u="1"/>
        <s v="Nawnghkio" u="1"/>
        <s v="Mansi" u="1"/>
        <s v="Pangsang" u="1"/>
        <s v="Minbya" u="1"/>
        <s v="Lashio" u="1"/>
        <s v="Ann" u="1"/>
        <s v="Muse" u="1"/>
        <s v="Manton" u="1"/>
        <s v="Bhamo" u="1"/>
        <s v="Namatee" u="1"/>
        <s v="Puta-O" u="1"/>
        <s v="Buthidaung " u="1"/>
        <s v="Mogaung" u="1"/>
        <s v="Namhkan" u="1"/>
        <s v="Hsipaw" u="1"/>
        <s v="Momauk" u="1"/>
        <s v="Myitkyina" u="1"/>
        <s v="Hpakant" u="1"/>
        <s v="Maungdaw" u="1"/>
        <s v="Namtu" u="1"/>
        <s v="Ponnagyun" u="1"/>
        <s v="Hseni" u="1"/>
        <s v="Chipwi" u="1"/>
        <s v="Mohnyin" u="1"/>
        <s v="Rathedaung" u="1"/>
        <s v="Mai Ja Yang " u="1"/>
        <s v="Waingmaw" u="1"/>
        <s v="Mrauk-U" u="1"/>
        <s v="Buthidaung" u="1"/>
        <s v="Tanai" u="1"/>
        <s v="Ramree" u="1"/>
        <s v="Shwegu" u="1"/>
        <s v="Sumprabum" u="1"/>
      </sharedItems>
    </cacheField>
    <cacheField name="Location Type" numFmtId="0">
      <sharedItems count="10">
        <s v="Camp"/>
        <s v="Town_New_Displaced" u="1"/>
        <s v="Town" u="1"/>
        <e v="#N/A" u="1"/>
        <s v="New Temporary Site" u="1"/>
        <s v="Village_New_Displaced" u="1"/>
        <s v="New Site" u="1"/>
        <s v="Camp_not registered" u="1"/>
        <s v="Village" u="1"/>
        <s v="Village_Not HRP" u="1"/>
      </sharedItems>
    </cacheField>
    <cacheField name="Site Name" numFmtId="0">
      <sharedItems containsBlank="1" count="974">
        <s v="Ah Nauk Ywe"/>
        <s v="Basare"/>
        <s v="Baw Du Pha 1"/>
        <s v="Baw Du Pha 2"/>
        <s v="Baw Du Pha Village (IDP in host families)"/>
        <s v="Dar Pai"/>
        <s v="Dar Pai (IDP in host families)"/>
        <s v="Khaung Doke Khar 1"/>
        <s v="Khaung Doke Khar 2 (Hmanzi)"/>
        <s v="Kyauk Ta Lone"/>
        <s v="Kyein Ni Pyin"/>
        <s v="Maw Ti Ngar"/>
        <s v="Nget Chaung 1"/>
        <s v="Nget Chaung 2"/>
        <s v="NiDin"/>
        <s v="Ohn Taw Chay"/>
        <s v="Ohn Taw Gyi (North)"/>
        <s v="Ohn Taw Gyi (South)"/>
        <s v="Phwe Yar Kone (Say Tha Mar Gyi)"/>
        <s v="Say Tha Mar Gyi"/>
        <s v="Sin Tet Maw"/>
        <s v="Taung Paw"/>
        <s v="Thae Chaung"/>
        <s v="Thet Kae Pyin "/>
        <s v="Thet Kae Pyin Village (IDPs in host family)"/>
        <s v="Pan Wa" u="1"/>
        <m u="1"/>
        <s v="Mading Baptist Church" u="1"/>
        <s v="Ramree Town" u="1"/>
        <s v="Set Yone Su 1" u="1"/>
        <s v="Tanai KBC Church " u="1"/>
        <s v="Shwe Gu Baptist Church" u="1"/>
        <s v="Pan Law" u="1"/>
        <s v="Gyit Chaung" u="1"/>
        <s v="Let Than Chi (Ywar Thit)" u="1"/>
        <s v="Sadung" u="1"/>
        <s v="Man Wing Host Families" u="1"/>
        <s v="Tha Bauk Chaung" u="1"/>
        <s v="Nay Pu Khan" u="1"/>
        <s v="Taw Kan" u="1"/>
        <s v="Sa Pe Kong A Nauk Ywa" u="1"/>
        <s v="Sin Thi Pein Hne Taw" u="1"/>
        <s v="Nga/Pyauk Se" u="1"/>
        <s v="Naw Naw(Rakhine)" u="1"/>
        <s v="Dar Let (South)" u="1"/>
        <s v="Mang Hawng Baptist Church" u="1"/>
        <s v="Kyun Pin Thar Baptist Church" u="1"/>
        <s v="Bum Tsit Pa" u="1"/>
        <s v="Yae Hnyin Chaung" u="1"/>
        <s v="Sin Khing Baw (Primary School)" u="1"/>
        <s v="Hla Nyo Kan" u="1"/>
        <s v="Ywa Haung" u="1"/>
        <s v="Aung Taing" u="1"/>
        <s v="Pan Ta Pyae" u="1"/>
        <s v="HlaKhaing" u="1"/>
        <s v="Pyu Chaing" u="1"/>
        <s v="Taung Htaung Ha Yar" u="1"/>
        <s v="Shwe Zin Khin (Rakhine)" u="1"/>
        <s v="Shwe Thee " u="1"/>
        <s v="Hindu" u="1"/>
        <s v="Sin Kae (High School)" u="1"/>
        <s v="Cheit Taung" u="1"/>
        <s v="Ba Ra War Monastery" u="1"/>
        <s v="Sin Bo" u="1"/>
        <s v="Wah Net Yone " u="1"/>
        <s v="Zay Di Taung" u="1"/>
        <s v="Thein Taung pyin (Dine Net)" u="1"/>
        <s v="Mee Pho Kone" u="1"/>
        <s v="Tha Yet Taung" u="1"/>
        <s v="Aung Tha Pyay" u="1"/>
        <s v="Ywa Gyi (Tha Yet Kin Ma Nu)" u="1"/>
        <s v="Hpaung Taw Pyin" u="1"/>
        <s v="Ba laung Chaung" u="1"/>
        <s v="YinYeKan" u="1"/>
        <s v="Maw Htet" u="1"/>
        <s v="Zee Khaung" u="1"/>
        <s v="Hopin Host Families" u="1"/>
        <s v="Pyaing Chaung" u="1"/>
        <s v="Lambraw Yang KBC, Namatee" u="1"/>
        <s v="Zay Di Taung  ( Host + Displaced)" u="1"/>
        <s v="Chipwi KBC camp" u="1"/>
        <s v="Thin Ga Net" u="1"/>
        <s v="Pyeing Chaung" u="1"/>
        <s v="Dar Shey" u="1"/>
        <s v="Chi Laing Hpin" u="1"/>
        <s v="Let Wea Det Pyin Shey" u="1"/>
        <s v="Ywar Thit Monastery/Pan Myaung" u="1"/>
        <s v="Hpare Hkyer - BP6" u="1"/>
        <s v="Dar Paing Village" u="1"/>
        <s v="Ward 2 Sai Taung Baptist Church, Seik Mu " u="1"/>
        <s v="Let Than Chi (Haung)" u="1"/>
        <s v="Godzilla (Hteik Tu Pauk Myauk)" u="1"/>
        <s v="Kyauk Hlay Kar" u="1"/>
        <s v="Lawt Awng" u="1"/>
        <s v="Mingalar on" u="1"/>
        <s v="Zedi Pyin" u="1"/>
        <s v="Zin Kha Mar" u="1"/>
        <s v="Kyone Pyin" u="1"/>
        <s v="Mardilla" u="1"/>
        <s v="Ah Htet Gar Pu" u="1"/>
        <s v="Thar Yar Kone (M)" u="1"/>
        <s v="Lu Fan Pyin" u="1"/>
        <s v="Taik Maw" u="1"/>
        <s v="Lawa RC Church" u="1"/>
        <s v="Salang Yang" u="1"/>
        <s v="Kha Tin Pike Gyi" u="1"/>
        <s v="St. Joseph Tanai RC camp " u="1"/>
        <s v="Taung Poke Kay" u="1"/>
        <s v="Maing Khaung" u="1"/>
        <s v="Karmaing RC Church" u="1"/>
        <s v="Kyee Kan Pyin ( Temoprary Tent)" u="1"/>
        <s v="Muslim (Aley Ywa)" u="1"/>
        <s v="Kar Di" u="1"/>
        <s v="Ohn Chaung" u="1"/>
        <s v="Langui" u="1"/>
        <s v="Mai Yu Lay New (Ta'ang)" u="1"/>
        <s v="Kat Pa Kaung" u="1"/>
        <s v="Inn Chaung (Muslim)" u="1"/>
        <s v="Aung Thar Church" u="1"/>
        <s v="Nyaung Pin Gyi (Rakhine)" u="1"/>
        <s v="Dar Paing Ywar Thit" u="1"/>
        <s v="Laiza Je Yang School" u="1"/>
        <s v="War Bo" u="1"/>
        <s v="Nant Yar Gaing (Nant Yar Gaing)" u="1"/>
        <s v="Loi Je Lisu Camp" u="1"/>
        <s v="Taung Myint" u="1"/>
        <s v="Set Yone Su 3" u="1"/>
        <s v="Kyun Taw Baptist Church " u="1"/>
        <s v="Qtr. 4 Monestry (Thargaya Thayett Taw)" u="1"/>
        <s v="Sut Chyai" u="1"/>
        <s v="Laung Don (Myo)" u="1"/>
        <s v="Tha Yet Cho" u="1"/>
        <s v="Shauk Chaung" u="1"/>
        <s v="Har Ra Paing" u="1"/>
        <s v="Koe Tan Kauk" u="1"/>
        <s v="Naw Wai" u="1"/>
        <s v="Trinity KBC Church" u="1"/>
        <s v="Tanai KBC Camp" u="1"/>
        <s v="U Htoe Dan " u="1"/>
        <s v="Shwe Zar (Middle)" u="1"/>
        <s v="Kwayt Shey Ywar Thit_x000a_(Kwayt Shay)" u="1"/>
        <s v="Woi Chyai host families" u="1"/>
        <s v="Lan Gwa St.Paul RC Church" u="1"/>
        <s v="Yoe Ta Yoke" u="1"/>
        <s v="Lisu Church Namtu" u="1"/>
        <s v="Nan Kway St. John Catholic Church" u="1"/>
        <s v="Taw Tan" u="1"/>
        <s v="Agritural Compound (KBC)" u="1"/>
        <s v="Maw Staw Bis" u="1"/>
        <s v="Jan Mai Kawng Baptist Church" u="1"/>
        <s v="Woi Chyai " u="1"/>
        <s v="Ywa thit Kay" u="1"/>
        <s v="Kone Khem Camp" u="1"/>
        <s v="Ah Htet Nan Yar" u="1"/>
        <s v="Auk Thin Pone Than/ Phar Kywe" u="1"/>
        <s v="Ah Lel Mu" u="1"/>
        <s v="RAT_Zay Di Pyin" u="1"/>
        <s v="Wa Taung Camp" u="1"/>
        <s v="Maina Lawang Baptist Church" u="1"/>
        <s v="Let Wea Myan" u="1"/>
        <s v="Lun Kyaw" u="1"/>
        <s v="Kun Thee Pin" u="1"/>
        <s v="Mei Za Li Kaing" u="1"/>
        <s v="Kyauk Se" u="1"/>
        <s v="Hla May Shwe" u="1"/>
        <s v="Maw" u="1"/>
        <s v="Ma Hawng Baptist Church" u="1"/>
        <s v="Le Kone Ziun Baptist Church " u="1"/>
        <s v="Hpar Kywe Wa" u="1"/>
        <s v="Ah Nauk" u="1"/>
        <s v="Pyar" u="1"/>
        <s v="Mya Yaike Kyun" u="1"/>
        <s v="Kyaung Taung" u="1"/>
        <s v="Mi Chaung Yae Thauk" u="1"/>
        <s v="Loi Je Catholic Church" u="1"/>
        <s v="Maw Hpawng Lhaovo Baptist Church" u="1"/>
        <s v="Nam Hkam (KBC Jaw Wang) II" u="1"/>
        <s v="Gan Kya" u="1"/>
        <s v="Lone Tin" u="1"/>
        <s v="Tat Oo Anauk" u="1"/>
        <s v="Tat Kone Galile Baptist Church" u="1"/>
        <s v="Thit Tone Na Gwa Sone (Ywa Ma)" u="1"/>
        <s v="Ramree Ward 6" u="1"/>
        <s v="Bar Ri Zar" u="1"/>
        <s v="Wa Hmyaung" u="1"/>
        <s v="Kyauk Ka Lay" u="1"/>
        <s v="Mi Nyo Htaunt_Thar Si" u="1"/>
        <s v="Nyaung Na Pin " u="1"/>
        <s v="Kyar Nyo Pyin (Muslim)" u="1"/>
        <s v="Kar Hpi Chaung" u="1"/>
        <s v="MiGyaungTet" u="1"/>
        <s v="Thit Ka Toe" u="1"/>
        <s v="Kyar Nin Kan Monastery" u="1"/>
        <s v="Nga San Baw (Moke Soe Chaung) (Ywar Haung)" u="1"/>
        <s v="Ni Lin Paw" u="1"/>
        <s v="Momauk Baptist Church" u="1"/>
        <s v="Rakhine Ywa" u="1"/>
        <s v="Hta Ma Rit (Kwet Thit)" u="1"/>
        <s v="Aung Pa" u="1"/>
        <s v="Shwe Baho" u="1"/>
        <s v="Faw Tay Ali " u="1"/>
        <s v="Ah Du" u="1"/>
        <s v="Kan Pyi Tha Zi" u="1"/>
        <s v="IDP Boarding School, A Len Bum" u="1"/>
        <s v="Sabei Hla" u="1"/>
        <s v="Mandalay Monestry" u="1"/>
        <s v="PyunTo" u="1"/>
        <s v="Ta Man Thar Ah Nauk (Rakhine)" u="1"/>
        <s v="Tein Nyo" u="1"/>
        <s v="Chaung New Min Gan" u="1"/>
        <s v="Nur Ru Lar" u="1"/>
        <s v="Wa Lan Kone" u="1"/>
        <s v="Ma Ji Bum" u="1"/>
        <s v="Ngan Chaung_Gone Nar" u="1"/>
        <s v="Maga Yang " u="1"/>
        <s v="Post 6 Camp" u="1"/>
        <s v="Ta Khun Taing" u="1"/>
        <s v="Let Kauk Zay Monastery" u="1"/>
        <s v="Kyar Ma Thauk" u="1"/>
        <s v="Kyauk Yan (Rakhine)" u="1"/>
        <s v="Kyauk Yit (Rakhine)" u="1"/>
        <s v="Mungji Pa Dabang (Catholic Church)" u="1"/>
        <s v="Nga/ Pun Ywar Shey" u="1"/>
        <s v="Inn Din (Rakhine)" u="1"/>
        <s v="Chin Ywa(Pyaing Taung)" u="1"/>
        <s v="Khun Sint Village" u="1"/>
        <s v="Ba Da Nar" u="1"/>
        <s v="Kon Tan (U Daung Ah Nauk)" u="1"/>
        <s v="Oke Taung Pyin" u="1"/>
        <s v="Thein Taung pyin (Muslim)" u="1"/>
        <s v="Taung Yin" u="1"/>
        <s v="Thein Tan (Rakhine)" u="1"/>
        <s v="Kyauk Pan Du (NTL)" u="1"/>
        <s v="Tha Yet Oke Ywar Thit" u="1"/>
        <s v="Je Yang Hka " u="1"/>
        <s v="Myo Thit " u="1"/>
        <s v="Nat Maw (Upper)" u="1"/>
        <s v="Palay Taung Ywa Thit" u="1"/>
        <s v="Maliyang Baptist Church" u="1"/>
        <s v="Man Li" u="1"/>
        <s v="Ahr Kar Taung" u="1"/>
        <s v="Kyet Taw Pyin" u="1"/>
        <s v="Inn Lel Yan - Host Families" u="1"/>
        <s v="Min Gyi (Tu Lar Tu Li)" u="1"/>
        <s v="Dar Peit" u="1"/>
        <s v="Nam Hpak Ka Ta'ang" u="1"/>
        <s v="Phyar Pyin" u="1"/>
        <s v="La Mu Ta Pin" u="1"/>
        <s v="Thet Kay Pyin Ywar Ma" u="1"/>
        <s v="Kan Pyin" u="1"/>
        <s v="Thi Ho Kyun Tha Dar ( Myo/ Temporary)" u="1"/>
        <s v="Kan Pyin Ywar Thit" u="1"/>
        <s v="Maung Ni" u="1"/>
        <s v="Tin Nyo Thit Monastery" u="1"/>
        <s v="Kyauk Yit Muslim" u="1"/>
        <s v="Kan Ni" u="1"/>
        <s v="Ward (1)" u="1"/>
        <s v="Namhkan - Pang Long KBC" u="1"/>
        <s v="DPA" u="1"/>
        <s v="Ban Dang" u="1"/>
        <s v="Da Wei" u="1"/>
        <s v="Shwe Zar (North)" u="1"/>
        <s v="Mai Yu Lay Ta'ang" u="1"/>
        <s v="Ywar Gyi (Middle)" u="1"/>
        <s v="Ywar Haung Ah Htet" u="1"/>
        <s v="Me la zi Kone" u="1"/>
        <s v="Ku Lar Te" u="1"/>
        <s v="Ah Twin Hnget Thay" u="1"/>
        <s v="Bomu Ywa" u="1"/>
        <s v="Ngar Sar Kyu" u="1"/>
        <s v="Kyauk Tan Chay" u="1"/>
        <s v="Zupra" u="1"/>
        <s v="Auk Myat Hle" u="1"/>
        <s v="Ashit Ywa_M" u="1"/>
        <s v="Bar Sa Yar Host" u="1"/>
        <s v="Thein Tan (Ku Lar)" u="1"/>
        <s v="Thein Tan (Muslim)" u="1"/>
        <s v="Robert Church" u="1"/>
        <s v="Htan Shauk Khan" u="1"/>
        <s v="Kutkai downtown (KBC Church)" u="1"/>
        <s v="Thar Dar" u="1"/>
        <s v="Kha Yay Myaing (NaTaLa)" u="1"/>
        <s v="Nyaung Pin Hla" u="1"/>
        <s v="Pin Zaing" u="1"/>
        <s v="Kachin Su Baptist Church (ECCD)" u="1"/>
        <s v="Wai Thar Le" u="1"/>
        <s v="Win Su" u="1"/>
        <s v="Thu U Lar" u="1"/>
        <s v="Thar Zay Kone (Thar Zi Kone)" u="1"/>
        <s v="Aung Daing " u="1"/>
        <s v="Kauk Kyit" u="1"/>
        <s v="Ashit Ywa_R" u="1"/>
        <s v="Rakhine Ywa_R" u="1"/>
        <s v="Sin Seik" u="1"/>
        <s v="KaLarChaung" u="1"/>
        <s v="Pa Da Kar Ywar Thit" u="1"/>
        <s v="Wet Hla Middle School" u="1"/>
        <s v="Tha Yet Pyin (Rakhine)" u="1"/>
        <s v="Thay Kan (Rakhine)" u="1"/>
        <s v="Inn Chaung (Daing Net)" u="1"/>
        <s v="Chan Pyin" u="1"/>
        <s v="Nga Khu Chaung" u="1"/>
        <s v="Kywi Te" u="1"/>
        <s v="Wai Thar Li" u="1"/>
        <s v="Mee Taik" u="1"/>
        <s v="Ann Thar" u="1"/>
        <s v="Chin Ywar Min Pyin" u="1"/>
        <s v="Zee kone Tan (or) Kon Tan Zay" u="1"/>
        <s v="Hkat Cho " u="1"/>
        <s v="Done Pyin (North)" u="1"/>
        <s v="Shwe Zin Khin (Ku Lar)" u="1"/>
        <s v="Chin Pyin" u="1"/>
        <s v="Ohn Taw Shey" u="1"/>
        <s v="Nam Hkam - Nay Win Ni (Palawng)" u="1"/>
        <s v="Zaw Pu Gyer" u="1"/>
        <s v="Sar Pyin" u="1"/>
        <s v="Boe Taw monastery" u="1"/>
        <s v="Sapar Seik (Shari)" u="1"/>
        <s v="Muyin church (Aung Yar pre-school compound)" u="1"/>
        <s v="AG Church, Maw Wan" u="1"/>
        <s v="Kin Chaung" u="1"/>
        <s v="Ah Bu Gyar" u="1"/>
        <s v="Shwe Zar (west)" u="1"/>
        <s v="Teik Tu Pauk" u="1"/>
        <s v="Pyaing Taung" u="1"/>
        <s v="Hpakant Baptist Church, Nam Ma Hpit" u="1"/>
        <s v="Kan Sauk" u="1"/>
        <s v="Myauk Ywa" u="1"/>
        <s v="Mi Nyo Htaunt" u="1"/>
        <s v="Tha Yet Oke Ywar Haung" u="1"/>
        <s v="Kyauk Yit RK" u="1"/>
        <s v="Lambraw Yang Rc, Namatee" u="1"/>
        <s v="Sin Oe" u="1"/>
        <s v="Thet Kay Pyin" u="1"/>
        <s v="Ah Lar Than" u="1"/>
        <s v="Doke Kan Chaung" u="1"/>
        <s v="Honsara (Zaw Ma Tat)" u="1"/>
        <s v="Man Loi" u="1"/>
        <s v="Hpar Wut Chaung" u="1"/>
        <s v="Tanai RC Church - Kinsa Ra " u="1"/>
        <s v="Yai Mya" u="1"/>
        <s v="Let Wea Det Pyin Shey_Ywar Thit" u="1"/>
        <s v="San Thar Pyin" u="1"/>
        <s v="Pyin  Hla Zay Ywa" u="1"/>
        <s v="Galeng (Palaung) &amp; Kone Khem" u="1"/>
        <s v="Maung Ni Pyin" u="1"/>
        <s v="Ngar Yauk Kaing" u="1"/>
        <s v="Aung Thay Pyay (San Suri)" u="1"/>
        <s v="Myet Tauk" u="1"/>
        <s v="Pe Tha Du" u="1"/>
        <s v="A Lei Ywar" u="1"/>
        <s v="Nga/Tauk Tet" u="1"/>
        <s v="Pan Taw Pyin" u="1"/>
        <s v="Thit Tone Nar Gwa Son" u="1"/>
        <s v="Myoma Myauk (Chitta Ywa)" u="1"/>
        <s v="Kha Maung Seik North" u="1"/>
        <s v="Tat Kone Emanuel Church" u="1"/>
        <s v="Koe Song (2) Village" u="1"/>
        <s v="Mee Chaung Zay_Ywar Thit" u="1"/>
        <s v="Khat Pa Kaung" u="1"/>
        <s v="Bu May Ohn Daw Chay" u="1"/>
        <s v="Nam Hkam Catholic Church ( St. Thomas I)" u="1"/>
        <s v="Kyu Sot" u="1"/>
        <s v="Oe Pone" u="1"/>
        <s v="Kine Gyi (Rakhine)" u="1"/>
        <s v="Mansi Baptist Church" u="1"/>
        <s v="Min Ga Lar Ahr Sheik Kyar" u="1"/>
        <s v="Thein Tan" u="1"/>
        <s v="Shwe Hlaing Rakhine" u="1"/>
        <s v="Thone Gwa" u="1"/>
        <s v="Aung Zay Ya Monastery" u="1"/>
        <s v="Lisu Baptist Church, Maw Shan Vil,. Seik Mu" u="1"/>
        <s v="Lin Bar Gone Nar" u="1"/>
        <s v="Phan Khar Kone" u="1"/>
        <s v="Ka Yin Taw" u="1"/>
        <s v="Pyin Hpyu" u="1"/>
        <s v="Pae Tha Du " u="1"/>
        <s v="Kyan Taik" u="1"/>
        <s v="Phas Kawri" u="1"/>
        <s v="Ywar Thit Kay Monastery" u="1"/>
        <s v="Myo U" u="1"/>
        <s v="Hmanzi " u="1"/>
        <s v="Nga Pwint Gyi" u="1"/>
        <s v="Let Wea Det" u="1"/>
        <s v="Robert -Middle school" u="1"/>
        <s v="Zaw Pu Gyar" u="1"/>
        <s v="Maina AG Church" u="1"/>
        <s v="Hkau Shau (BP 12)" u="1"/>
        <s v="Htoi San Church" u="1"/>
        <s v="Than Chay (Rakhine)" u="1"/>
        <s v="Kan Hpay" u="1"/>
        <s v="Kan Thar Yar" u="1"/>
        <s v="Nyaung Pin Gyi (Ku Lar)" u="1"/>
        <s v="Jan Mai Kawng Catholic Church" u="1"/>
        <s v="Ohn Taw Gyi" u="1"/>
        <s v="Narte" u="1"/>
        <s v="Ah Nauk Pyin" u="1"/>
        <s v="Set Yone Su 3 (Mingan)" u="1"/>
        <s v="Ma La Kyun" u="1"/>
        <s v="Say Tha Ma" u="1"/>
        <s v="Bo Min Monastery" u="1"/>
        <s v="Shar Du Zut SanPya" u="1"/>
        <s v="Thae Chaung(Rakhine)" u="1"/>
        <s v="Sasana 2500 monastery" u="1"/>
        <s v="Ka Yin" u="1"/>
        <s v="Mu-yin Baptist Church" u="1"/>
        <s v="Than Shin Ywar Thit" u="1"/>
        <s v="Thin Baw Hla (Rakhine) (Thar Yar Gone)" u="1"/>
        <s v="Kyu Taw Chaing" u="1"/>
        <s v="Auk Tha Kan" u="1"/>
        <s v="Na Htoe Pyin" u="1"/>
        <s v="Phwe Yar Kone" u="1"/>
        <s v="Shaw Me (primary school)" u="1"/>
        <s v="Nga Sin Rine Kine Primary School" u="1"/>
        <s v="Tha Yet Oke" u="1"/>
        <s v="Man Sa" u="1"/>
        <s v="Bhamo_Host Families" u="1"/>
        <s v="Nam Hkam (KBC Jaw Wang)" u="1"/>
        <s v="Sin Tet Maw Rakhine(Baw Da Li)" u="1"/>
        <s v="Gwa Sone Chin" u="1"/>
        <s v="Thaing Ta Poke" u="1"/>
        <s v="Moenyin Host Families" u="1"/>
        <s v="Kha Yu Chaung (Muslim)" u="1"/>
        <s v="Ku Lar Thein" u="1"/>
        <s v="St. Patrick Catholic Church " u="1"/>
        <s v="Taung Htaung" u="1"/>
        <s v="Du Kahtawng Baptist" u="1"/>
        <s v="Nga Khu Ya (Myauk Ywar)" u="1"/>
        <s v="Shwe Tee " u="1"/>
        <s v="Ka Nyin Chaung" u="1"/>
        <s v="Yar Taik" u="1"/>
        <s v="Pale Taung" u="1"/>
        <s v="Tin Nyo (Primary school)" u="1"/>
        <s v="Yin Chaung" u="1"/>
        <s v="Ah Htet Nan Yar (Muslim)" u="1"/>
        <s v="Na Nwin Ku" u="1"/>
        <s v="Nyaung Chaung" u="1"/>
        <s v="Yai Myet Taung Ywa Thit" u="1"/>
        <s v="Shwe Zar _Hindu" u="1"/>
        <s v="Phwe Yar Gone village" u="1"/>
        <s v="Sai Nai Baptish Church, Maw Shan Vil., Seki Mu" u="1"/>
        <s v="Lan Gwa KBC Church" u="1"/>
        <s v="Let Taw Ri" u="1"/>
        <s v="Be Lar Mi" u="1"/>
        <s v="Momauk IDP new Extension camp_x000a_(Alen Kawng Lawk)" u="1"/>
        <s v="Muse Baptist Church" u="1"/>
        <s v="Sa Khan Maw" u="1"/>
        <s v="Baw Du Pha Village" u="1"/>
        <s v="Zin Baw Gaing (school)" u="1"/>
        <s v="Baptist Church, Hmaw Si Sar(Lon Khin)" u="1"/>
        <s v="Doe Tan" u="1"/>
        <s v="Kyet Mauk Taung (Myauk Ywar)" u="1"/>
        <s v="Kha Tin Paik" u="1"/>
        <s v="Hmaw Wan, Anglican" u="1"/>
        <s v="Thay Kan (Muslim)" u="1"/>
        <s v="Pyaung Chaung" u="1"/>
        <s v="Nwar Yone Taung" u="1"/>
        <s v="Nga Pha Yone" u="1"/>
        <s v="Gaung Gyi" u="1"/>
        <s v="Aung Tat Ward (Aung Zaydi Hpayar Thin)" u="1"/>
        <s v="Pyein Chaung" u="1"/>
        <s v="Pa Kahtawng " u="1"/>
        <s v="Trinity Camp" u="1"/>
        <s v="Ah Hla Sin" u="1"/>
        <s v="Za Yat Kwin" u="1"/>
        <s v="Zaw Ma Tat ( Kyine Gyi)" u="1"/>
        <s v="Nam Hpak Ka Mare " u="1"/>
        <s v="Pon Nar" u="1"/>
        <s v="Kutkhai KBC-2 (Block-6)" u="1"/>
        <s v="Ywar Gyi" u="1"/>
        <s v="Taung Htaung Hayar_Wa Lar Kan (Ku Lar)" u="1"/>
        <s v="Nga Ta Paung" u="1"/>
        <s v="Ndup Yang" u="1"/>
        <s v="Wa Lar Kan" u="1"/>
        <s v="Kha Yan Kyun" u="1"/>
        <s v="Tha Lu Chaung" u="1"/>
        <s v="Thar Si" u="1"/>
        <s v="A Lei Ywar " u="1"/>
        <s v="Sat Kyar" u="1"/>
        <s v="Mansi_Host Families" u="1"/>
        <s v="Thet Kel Pyin Village" u="1"/>
        <s v="Kyu Yaw Chaing" u="1"/>
        <s v="Seng Ja " u="1"/>
        <s v="Yae Nauk Ngar Thar" u="1"/>
        <s v="Yun Nyar" u="1"/>
        <s v="San Go Taung" u="1"/>
        <s v="NgaWetSway" u="1"/>
        <s v="Ywet Nyo Taung" u="1"/>
        <s v="Sha-It Yang" u="1"/>
        <s v="Hla Tha Ma" u="1"/>
        <s v="Oe Hpauk Ywar Thit" u="1"/>
        <s v="Wa  Lan" u="1"/>
        <s v="Gaw Yaw Ma Ni" u="1"/>
        <s v="Lisu Baptist Church" u="1"/>
        <s v="Beik Taung" u="1"/>
        <s v="U Daung (NaTaLa)" u="1"/>
        <s v="Shwe Gu Catholic Church" u="1"/>
        <s v="Gwa Sone Rakhine" u="1"/>
        <s v="Pyin Chay" u="1"/>
        <s v="Tat Kone Baptist Church" u="1"/>
        <s v="Kan Sit" u="1"/>
        <s v="Sa Par Htar" u="1"/>
        <s v="Thin Ga Zar" u="1"/>
        <s v="Thay Kan Gwa Sone ( Host)" u="1"/>
        <s v="OhnHnanChaung" u="1"/>
        <s v="Kyauk Pyin Seik" u="1"/>
        <s v="Waimaw Baptist Zonal Office 2" u="1"/>
        <s v="BUT_Sa Par Htar" u="1"/>
        <s v="Thit Pok Chaung" u="1"/>
        <s v="Kywe Ta Ma" u="1"/>
        <s v="Nga/Pun Ywar Gyi" u="1"/>
        <s v="Thea Chaung Ywar Thit Kay" u="1"/>
        <s v="Shwe Yin Aye" u="1"/>
        <s v="Waingmaw AG Church" u="1"/>
        <s v="Done Thein" u="1"/>
        <s v="Kan Kyar Myauk" u="1"/>
        <s v="Paik Thei Ward" u="1"/>
        <s v="Baw Li (Muslim)" u="1"/>
        <s v="Chut Pyin" u="1"/>
        <s v="Nawng Nan, Jaw Ma Sat KBC Church" u="1"/>
        <s v="Dway Cha" u="1"/>
        <s v="Kyauk Yant (Rakhine)" u="1"/>
        <s v="Thargaya Lisu Baptist Church" u="1"/>
        <s v="Sin Kay ( High School)" u="1"/>
        <s v="Kan Chaung Wa" u="1"/>
        <s v="Kar Di (Middle)" u="1"/>
        <s v="Thin Khaung Maw" u="1"/>
        <s v="Zin Baw Gaing (Monastery)" u="1"/>
        <s v="Zon Mar" u="1"/>
        <s v="Muse Catholic Church" u="1"/>
        <s v="Man Wing Catholic Church II" u="1"/>
        <s v="Htan Ma Rit (Kwet Thit)" u="1"/>
        <s v="Myaung Nar" u="1"/>
        <s v="KAT_Nyaung Chaung" u="1"/>
        <s v="Aung Tat Ward (Naratsar Hpayar Thin)" u="1"/>
        <s v="Hin Thar Ra" u="1"/>
        <s v="Qtr. 3 Mu-yin  Baptist Church" u="1"/>
        <s v="Sin Khone Taing" u="1"/>
        <s v="Sin U Taik" u="1"/>
        <s v="Aung Tat Ward (Dein Kyi Monastery)" u="1"/>
        <s v="Aung Tat Ward (Myo Thit Monastery)" u="1"/>
        <s v="Pyin Shey Ku lar" u="1"/>
        <s v="Pon Sar" u="1"/>
        <s v="Saw Kina Ma" u="1"/>
        <s v="Shar Du Zut RC church" u="1"/>
        <s v="Phwe Ra" u="1"/>
        <s v="Taung (Pale Taung)" u="1"/>
        <s v="Nga Let Kya" u="1"/>
        <s v="Shwe Hlaing" u="1"/>
        <s v="Shwe Yin Aye (NaTaLa)" u="1"/>
        <s v="Aung Zay Ya" u="1"/>
        <s v="Pa Dauk Myaing(Pa La Na)-II" u="1"/>
        <s v="Nam Hkawng" u="1"/>
        <s v="Nawng Hee Village" u="1"/>
        <s v="Yae Nauk Ngar Thar (Daing Nat)" u="1"/>
        <s v="Jwan Jaw KBC" u="1"/>
        <s v="That Kaing Nyar (Thet)" u="1"/>
        <s v="Tat Kone COC Baptist - Tat Kone Htoi San" u="1"/>
        <s v="Htai Ra Yang" u="1"/>
        <s v="Laung Chaung (Daing Net)" u="1"/>
        <s v="Zu Kaing" u="1"/>
        <s v="Thin Pan Kaing" u="1"/>
        <s v="Nant Ma Hpit Catholic Church" u="1"/>
        <s v="Ah Htet Nan Yar (Rakhine)" u="1"/>
        <s v="Tsan Lun - Namjarap" u="1"/>
        <s v="Nga Khu Ya" u="1"/>
        <s v="Kan Beit" u="1"/>
        <s v="Min Hla Kaing" u="1"/>
        <s v="Say Tha Mar Gyi village" u="1"/>
        <s v="Baw Du Pa" u="1"/>
        <s v="Gwa Sone (Rakhine)" u="1"/>
        <s v="Rawan Baptist Church, Maw Shan Vil., Seik Mu" u="1"/>
        <s v="Play Taung Ywa Gyi North" u="1"/>
        <s v="Ba Wan Chaung Wa Su Ward / Monastery" u="1"/>
        <s v="Pi Htu_Wa Lar Kan" u="1"/>
        <s v="Man wing gyi (host school)" u="1"/>
        <s v="Ah Shey (North) Ward" u="1"/>
        <s v="Rakhine" u="1"/>
        <s v="Ah Htet See Maung" u="1"/>
        <s v="Tha Yet Oak" u="1"/>
        <s v="Taung Min Ku Lar" u="1"/>
        <s v="Maw Hpawng Hka Nan Baptist Church" u="1"/>
        <s v="Hlaing Naung Baptist" u="1"/>
        <s v="Kyun Pauk Ku Lar" u="1"/>
        <s v="Payar Por Thain Taw Gyi Monastery" u="1"/>
        <s v="Taung Yin School Compound" u="1"/>
        <s v="Mong Wee Shan" u="1"/>
        <s v="Yet Khone Taing" u="1"/>
        <s v="Goke Pi Htaunt (Rakhine)" u="1"/>
        <s v="Thea Chaung Pyu Su" u="1"/>
        <s v="Tha Dar" u="1"/>
        <s v="Sar Hmaw - KBC" u="1"/>
        <s v="Zin Paing Nyar" u="1"/>
        <s v="MinPauk" u="1"/>
        <s v="Thin Pon Tan" u="1"/>
        <s v="Gar Pu (Lower)" u="1"/>
        <s v="Zay Teit Taung" u="1"/>
        <s v="Thone Saung" u="1"/>
        <s v="Border Post 8" u="1"/>
        <s v="Chaung Thit Monastery" u="1"/>
        <s v="Lisu Boarding-House" u="1"/>
        <s v="Say Tha Ma Gyi" u="1"/>
        <s v="Ah Htet Myat Hle" u="1"/>
        <s v="Inn Hpauk" u="1"/>
        <s v="Aung Ba La" u="1"/>
        <s v="5 Ward RC Church(lon Khin)" u="1"/>
        <s v="Let Wea Det Pyin Shey_Tha Pyay Taw" u="1"/>
        <s v="Pyin Shey" u="1"/>
        <s v="Sa Bai Pin Yin" u="1"/>
        <s v="Yat Khone Taing" u="1"/>
        <s v="Mya Ta Saung Monastery" u="1"/>
        <s v="Bethela KBC church" u="1"/>
        <s v="Kan Pyin Ywa Haung" u="1"/>
        <s v="Taung Chauk" u="1"/>
        <s v="Maw Wan, Mu-yin Baptist Church" u="1"/>
        <s v="Lung Sut" u="1"/>
        <s v="Hka Garan Yang " u="1"/>
        <s v="Kun Taung" u="1"/>
        <s v="Shwe Taung Monastery" u="1"/>
        <s v="Tauk Sone" u="1"/>
        <s v="Hpai Kawng Mare" u="1"/>
        <s v="Kan Za Li" u="1"/>
        <s v="Loi Je Baptist Church" u="1"/>
        <s v="Tote Tan Ward" u="1"/>
        <s v="Khaung Htoke" u="1"/>
        <s v="Hpar Wut Chaung (Myauk Ywar)" u="1"/>
        <s v="Mine Yu Lay village" u="1"/>
        <s v="Chaung Pauk" u="1"/>
        <s v="Lisu Baptist Church, Maw Wan Ward" u="1"/>
        <s v="Tanai AG Church" u="1"/>
        <s v="Ah Nauk Ka Maung Seik" u="1"/>
        <s v="Kin Taung (Taung + Myauk)" u="1"/>
        <s v="Lone Khin Catholic Church" u="1"/>
        <s v="Taung Chaung" u="1"/>
        <s v="Zay Di Taung (Rakhine)" u="1"/>
        <s v="Dar Let Ah Lel Kyun" u="1"/>
        <s v="Pi Pin Yin Monastery" u="1"/>
        <s v="In Bar Yi" u="1"/>
        <s v="Kone Tan" u="1"/>
        <s v="Bu May" u="1"/>
        <s v="Momauk_Host Families" u="1"/>
        <s v="Ah Lel Chaung" u="1"/>
        <s v="Aung Thay Pyay (NaTaLa)" u="1"/>
        <s v="Myo Thit Ward" u="1"/>
        <s v="ThonePetChaing" u="1"/>
        <s v="Maina KBC (Bawng Ring)" u="1"/>
        <s v="Than Chay RK" u="1"/>
        <s v="Inn Din_new village" u="1"/>
        <s v="Tan Zwei" u="1"/>
        <s v="Ray Zar Chaung" u="1"/>
        <s v="Nam Tu Baptist" u="1"/>
        <s v="Thit Taw Ywa" u="1"/>
        <s v="Man Bung Edin Baptist Church" u="1"/>
        <s v="Pajau - Jan Mai" u="1"/>
        <s v="Out Thar Kan Monastery" u="1"/>
        <s v="Dar Gyi Zar" u="1"/>
        <s v="Kyar Nyo Inn" u="1"/>
        <s v="Palae' Kaine" u="1"/>
        <s v="Yae Myet" u="1"/>
        <s v="Aung Tat Ward (Aung Mingalar Monastery)" u="1"/>
        <s v="Gwa Sone Muslim" u="1"/>
        <s v="Sin Tet Maw (Host)" u="1"/>
        <s v="Yar Tan" u="1"/>
        <s v="Ti Yang Zup" u="1"/>
        <s v="Chein Khar Li" u="1"/>
        <s v="Doke Kan Chaung Monastery" u="1"/>
        <s v="Kin Taung" u="1"/>
        <s v="Nga Ku Ya (Ku Lar)" u="1"/>
        <s v="Goke Pi Htaunt" u="1"/>
        <s v="New Pang Ku " u="1"/>
        <s v="Kyauk Yan Thar Si" u="1"/>
        <s v="Raza Bil" u="1"/>
        <s v="Sat Roe Kya 1" u="1"/>
        <s v="Man Bung Catholic compound" u="1"/>
        <s v="Kan Tha Ya" u="1"/>
        <s v="Taung Pauk" u="1"/>
        <s v="Shatapru Sut Ngai Tawng" u="1"/>
        <s v="Pyar Lay Chaung Ywar Haung" u="1"/>
        <s v="Yay Myet" u="1"/>
        <s v="Lhaovao Baptist Church (LBC)" u="1"/>
        <s v="Gye Kyaung" u="1"/>
        <s v="Mungji Pa Dabang (Baptist Church)" u="1"/>
        <s v="War Net Chun" u="1"/>
        <s v="Auk Myat Lay" u="1"/>
        <s v="InjangYang  host families" u="1"/>
        <s v="Koe Saung (1) village" u="1"/>
        <s v="Hnget Pyaw Chaung" u="1"/>
        <s v="Kan Paing Nar" u="1"/>
        <s v="Namti Labraw Yang KBC Camp" u="1"/>
        <s v="Thit Poke Chaung" u="1"/>
        <s v="Say Ti Taung " u="1"/>
        <s v="Shit Thaung Monastery" u="1"/>
        <s v="Shwe Ta Mar" u="1"/>
        <s v="Pauk Pin Yin" u="1"/>
        <s v="Taung Ywa" u="1"/>
        <s v="Maina Catholic Church (St. Joseph)" u="1"/>
        <s v="Kyee Kan Pyin ( Surrounding)" u="1"/>
        <s v="Hpon Nyo Leik" u="1"/>
        <s v="Dar Let (North)" u="1"/>
        <s v="Nan Yah Gone Ahtet" u="1"/>
        <s v="Hpun Lum Yang " u="1"/>
        <s v="Ta Gun Taing Monastery (Shwe Kyi Na)" u="1"/>
        <s v="Pa Lat Kay" u="1"/>
        <s v="Zay Di Pyin" u="1"/>
        <s v="Athay Kar La" u="1"/>
        <s v="Ah Shae Myauk Quarter" u="1"/>
        <s v="Mung Hawm " u="1"/>
        <s v="Lawk Awng Mare D. (Sinbo Area)" u="1"/>
        <s v="Win Zar" u="1"/>
        <s v="Baw Li " u="1"/>
        <s v="Baw Ya Par" u="1"/>
        <s v="Saw Zam" u="1"/>
        <s v="Gwa Sone (Muslim)" u="1"/>
        <s v="NgweTwinDway" u="1"/>
        <s v="Wa Khote Chaung" u="1"/>
        <s v="Kyar Nyo Pyin (Rakhine)_x000a_+ Pyar Yae" u="1"/>
        <s v="Alay Mushee" u="1"/>
        <s v="Sin Khone Taing (Rakhine)" u="1"/>
        <s v="Du Than Dar" u="1"/>
        <s v="Shing Jai" u="1"/>
        <s v="Mandung - Jinghpaw" u="1"/>
        <s v="Lana Zup Ja" u="1"/>
        <s v="Sin Aing" u="1"/>
        <s v="Sat Roe Kya 2" u="1"/>
        <s v="Ka Bu Dam CoC" u="1"/>
        <s v="Pyin Hpyu Maw" u="1"/>
        <s v="Pyaing Taung (Rakhine)" u="1"/>
        <s v="U Yin Thar" u="1"/>
        <s v="Ah Kyaw (Arisha Para)" u="1"/>
        <s v="Myin Kan Seik" u="1"/>
        <s v="Mine Yu Lay village ( Old)" u="1"/>
        <s v="Kyar Nyo Pyin" u="1"/>
        <s v="Nga Kyi Tauk Daing Nat" u="1"/>
        <s v="Thet Kaing Ngyar" u="1"/>
        <s v="Sin Thay Pyin (Zay Di Pyin)" u="1"/>
        <s v="Shwe Zar Kat Pa Kaung" u="1"/>
        <s v="Sumprabum" u="1"/>
        <s v="Lwegel High School" u="1"/>
        <s v="Sin Thi Pein Hne Taw (Sin Tae)" u="1"/>
        <s v="Man Hkring Baptist Church" u="1"/>
        <s v="Wa Lar Kann" u="1"/>
        <s v="Tat Kone San Pya Baptist Church" u="1"/>
        <s v="U Gar Hton" u="1"/>
        <s v="Nam Sa Larp" u="1"/>
        <s v="Tanai AG Church " u="1"/>
        <s v="Thu Yiya Yaung Chi Monastery" u="1"/>
        <s v="Namtu RC" u="1"/>
        <s v="Taung Pyo ( 3Quarter)" u="1"/>
        <s v="Kyaung Swae Phyu" u="1"/>
        <s v="Say Taung" u="1"/>
        <s v="Ywa Haung_M" u="1"/>
        <s v="Muslim (Taung Ywa)" u="1"/>
        <s v="Din Gar" u="1"/>
        <s v="Jaw Masat Camp" u="1"/>
        <s v="Baw Di Kone" u="1"/>
        <s v="Man Wing Catholic Church" u="1"/>
        <s v="Phayapaw Phayathein" u="1"/>
        <s v="Kan Kyar Taung " u="1"/>
        <s v="Sat Yon Maw (Rakhine)" u="1"/>
        <s v="Ngar Saung Bet" u="1"/>
        <s v="Nat Chaung (Garapyin)" u="1"/>
        <s v="Mingalar Nyunt (NaTaLa)" u="1"/>
        <s v="Shwe Zin Yaw" u="1"/>
        <s v="Yumar Baptist Church" u="1"/>
        <s v="Chin Church, Seik Mu" u="1"/>
        <s v="Say Tha Mar Nge" u="1"/>
        <s v="Nyaung Chaung_ann" u="1"/>
        <s v="Aung Si Kone" u="1"/>
        <s v="Le Kone Bethlehem Church" u="1"/>
        <s v="Woi Chyai (Mong Lai)" u="1"/>
        <s v="Lawng Hkang Shait Yang Camp​ ( Lel Pyin)​ " u="1"/>
        <s v="Ah Myet Taung" u="1"/>
        <s v="Sein Hnyin Pyar_Tha Pyay Taw" u="1"/>
        <s v="Njang Dung Baptist Church " u="1"/>
        <s v="Ywa Haung_R" u="1"/>
        <s v="Ywa Ma" u="1"/>
        <s v="Done Thar" u="1"/>
        <s v="Let Thar Ywa" u="1"/>
        <s v="Ah Pyin Done Chaung" u="1"/>
        <s v="War Taung" u="1"/>
        <s v="Gyin Chaung" u="1"/>
        <s v="Ma Hawng RC " u="1"/>
        <s v="Paung Zar" u="1"/>
        <s v="Wet Mee To" u="1"/>
        <s v="Dar Paing Ywar Haung" u="1"/>
        <s v="Girl Boarding house, A Len Bum" u="1"/>
        <s v="Ma Gyi Koung" u="1"/>
        <s v="Yan Aung Pyin" u="1"/>
        <s v="Tat U Chaung (West)" u="1"/>
        <s v="Ah Htet Thin Pone Tan" u="1"/>
        <s v="Pyar Pin Yin" u="1"/>
        <s v="Kar Di (Kywe Cho Maw)" u="1"/>
        <s v="Zedi Taung (Muslim)" u="1"/>
        <s v="Tin Htein Kan Monastery" u="1"/>
        <s v="Swi Chaung" u="1"/>
        <s v="Thin Pone Tan" u="1"/>
        <s v="Qtr. 2 Lhaovo Baptist Church" u="1"/>
        <s v="site A" u="1"/>
        <s v="Tan Khoe" u="1"/>
        <s v="Sha Kay Ywa" u="1"/>
        <s v="Oke Hpo (Oe Hpauk)" u="1"/>
        <s v=" Zay Ywar " u="1"/>
        <s v="Thar Yar Kone" u="1"/>
        <s v="Laung Sat" u="1"/>
        <s v="Kyauk Pan Du" u="1"/>
        <s v="Ah Nauk Ye Ku Lar" u="1"/>
        <s v="Majee Ywa" u="1"/>
        <s v="Ywa Thit" u="1"/>
        <s v="Si Tar (Pa Zun Chaung)" u="1"/>
        <s v="Tanai CoC" u="1"/>
        <s v="Nhkawng Pa " u="1"/>
        <s v="Tan Seik" u="1"/>
        <s v="Pan Myaung (Aung Mingalar Monastery)" u="1"/>
        <s v="Mandung - RC" u="1"/>
        <s v="Be Kho" u="1"/>
        <s v="Done Pyin (South)" u="1"/>
        <s v="Kyauk Tan Gyi" u="1"/>
        <s v="Sin Khone Taing (Ku Lar)" u="1"/>
        <s v="Qtr. 2 Myoma Baptist Church" u="1"/>
        <s v="Kywe Lan Chaung" u="1"/>
        <s v="Man Kaung/Naung Ti Kyar Village" u="1"/>
        <s v="Gudar Pyin" u="1"/>
        <s v="Ka Nyin Tan" u="1"/>
        <s v="Pyein Chaung (ngwe Twin Dway tract)" u="1"/>
        <s v="Baw Du Pha (IDP in host families)" u="1"/>
        <s v="Kar Di Ha Yar" u="1"/>
        <s v="Lam Bar Gone Nah" u="1"/>
        <s v="Daung Pyauk Kay" u="1"/>
        <s v="Yae Chan Pyin" u="1"/>
        <s v="Zin Khar Chay Monastery" u="1"/>
        <s v="Taungchay Ywa Muslim" u="1"/>
        <s v="Nga/ Pun Ywar Gyi" u="1"/>
        <s v="Maing Khaung Catholic Church" u="1"/>
        <s v="Nam Ma Phyit, COC" u="1"/>
        <s v="Kutkai downtown (KBC Church-2)" u="1"/>
        <s v="Ah Pauk Wa" u="1"/>
        <s v="Kyeik Chaung" u="1"/>
        <s v="AD-2000 Tharthana Compound" u="1"/>
        <s v="Hpai Kawng" u="1"/>
        <s v="Chin Kone" u="1"/>
        <s v="Maung Hpyu (Da Pyu Chaung)" u="1"/>
        <s v="Kyet Mauk Taung (Taung Ywar)" u="1"/>
        <s v="Say Oe Kya ( Host+ Displaced)" u="1"/>
        <s v="Myat Yeik Kyun Monastery" u="1"/>
        <s v="Zaw Ma Tat ( Myo/ Relocation)" u="1"/>
        <s v="Gaung Nyar" u="1"/>
        <s v="Dhama Rakhita, Nyein Chan Tar Yar Ward(Lon Khin)" u="1"/>
        <s v="Nat Gyi Kone Baptist Church " u="1"/>
        <s v="Hpa Yar Pyin Thein Tan" u="1"/>
        <s v="Navy Seik" u="1"/>
        <s v="Myet Yeik Kyun Monastery" u="1"/>
        <s v="Ywet Nyo Taung ( Rakhine)" u="1"/>
        <s v="Yay Chan Pyin" u="1"/>
        <s v="Wet Ma Kya" u="1"/>
        <s v="Myo Oo St. Dominic RC Church" u="1"/>
        <s v="Man Wing Baptist Church Cultural Compound" u="1"/>
        <s v="Min Kha Maung (NaTaLa)" u="1"/>
        <s v="Shwe Zet Baptist Church" u="1"/>
        <s v="Ywa Thar Yar" u="1"/>
        <s v="Ka Nyin Taw" u="1"/>
        <s v="Sa Ma Nya Village" u="1"/>
        <s v="Sin Baw Kaing (School)" u="1"/>
        <s v="Naw Naw(Ku Lar)" u="1"/>
        <s v="Ahla Madi" u="1"/>
        <s v="Kyauk Reik Kay Monastery" u="1"/>
        <s v="Thit Tone Na Gwa Sone (Daung Ywa)" u="1"/>
        <s v="Ngwe Taung" u="1"/>
        <s v="Tha Yet" u="1"/>
        <s v="Ban Bwee" u="1"/>
        <s v="Chaik Taung" u="1"/>
        <s v="Ywar Thit Kay" u="1"/>
        <s v="Hpet Leik" u="1"/>
        <s v="Nawng Ing (Indawgyi) Baptist Church " u="1"/>
        <s v="Hka Shi" u="1"/>
        <s v="Nam Hpak Ka Ta'ang ( Aung Tha Pyay)" u="1"/>
        <s v="Done Pyin Village" u="1"/>
        <s v="Oke Kan" u="1"/>
        <s v="Ah Lel Ywa" u="1"/>
        <s v="Mra_Zay Di Taung" u="1"/>
        <s v="Ar Kya" u="1"/>
        <s v="La Baw Zar" u="1"/>
        <s v="AG Church, Hmaw Si Sa" u="1"/>
        <s v="Emmanuel AG Church" u="1"/>
        <s v="Kyein Chaung" u="1"/>
        <s v="Kan Thar Htwat Wa" u="1"/>
        <s v="Baw Li (Rakhine)" u="1"/>
        <s v="Kyet Yoe Pyin (Ywa Ma)" u="1"/>
        <s v="War Taung Camp" u="1"/>
        <s v="Hpar Wut Chaung (Ywar Thit)" u="1"/>
        <s v="Tan Chaung" u="1"/>
        <s v="Nant Hlaing Church" u="1"/>
        <s v="Ohn Ye Paw" u="1"/>
        <s v="Gone Nar" u="1"/>
        <s v="Fatar" u="1"/>
        <s v="San Pai Pin Yin" u="1"/>
        <s v="Ngan Chaung" u="1"/>
        <s v="Phat Lake" u="1"/>
        <s v="Myaunk Ywa_R" u="1"/>
        <s v="Than Pyin" u="1"/>
        <s v="Rakhine Min Pyin" u="1"/>
        <s v="Man Wing Baptist Church" u="1"/>
        <s v="Pyaung Seik" u="1"/>
        <s v="Pang Hkawn Yang" u="1"/>
        <s v="San Htoe Tan" u="1"/>
        <s v="Thar Yar Kone (Rakhine)" u="1"/>
        <s v="Kyauk Yant" u="1"/>
        <s v="Auk Thar Kan" u="1"/>
        <s v="Bu Chaung" u="1"/>
        <s v="Thaung Paing Nyar" u="1"/>
        <s v="Thea Chaung Let Tha Mar Kone" u="1"/>
        <s v="Pyin Hlyar Shey" u="1"/>
        <s v="Koun Tan" u="1"/>
        <s v="Tha Mee Hla" u="1"/>
        <s v="Gan Gaw Myaing ( Na Ta La )" u="1"/>
        <s v="Zaw Ma Tat" u="1"/>
        <s v="Aung Thar Yar" u="1"/>
        <s v="Min Thar Seik" u="1"/>
        <s v="Sar Kon Boke (Hindu Para)" u="1"/>
        <s v="Wet Kyein (Myo)" u="1"/>
        <s v="Tha Ray Kon Baung" u="1"/>
        <s v="Namatee AG" u="1"/>
        <s v="Ward-6 (Lay Myaing)" u="1"/>
        <s v="Ka Doe Seik" u="1"/>
        <s v="Pa Dauk Myaing(Pa La Na)" u="1"/>
        <s v="Kyan Taw" u="1"/>
        <s v="Nyaung Bin Hla Village" u="1"/>
        <s v="Pann Phaw Pyin" u="1"/>
        <s v="Aung Zay Yar" u="1"/>
        <s v="AD-2000 Extension camp" u="1"/>
        <s v="Ywar Thar Yar" u="1"/>
        <s v="Kutkai downtown (RC Church)" u="1"/>
        <s v="Thea Chaung Ku Lar" u="1"/>
        <s v="Min Ga Lar Gyi" u="1"/>
        <s v="Taung Pyo ( 1 Quarter)" u="1"/>
        <s v="Taung Pyo ( 2 Quarter)" u="1"/>
        <s v="Taung Pyo ( 4 Quarter)" u="1"/>
        <s v="Taung Maw" u="1"/>
        <s v="Sin Baw Kaing (Monastery)" u="1"/>
        <s v="Shat Shar Taung" u="1"/>
        <s v="Kha Tin Pike Chay" u="1"/>
        <s v="Tang Hpre RC Church" u="1"/>
        <s v="Kyun Taw" u="1"/>
        <s v="Kyauk Sar Dine" u="1"/>
        <s v="Shwe Baho+Sein P M" u="1"/>
        <s v="Pa Dauk Myaing (Pa La Na) II" u="1"/>
        <s v="Oak Pho" u="1"/>
        <s v="Khar Nan (1) Baptist Church" u="1"/>
        <s v="Pet Khwet Seik" u="1"/>
        <s v="Aung Zay Kone" u="1"/>
        <s v="Boys Boarding house, A Len Bum" u="1"/>
        <s v="Dum Bung " u="1"/>
        <s v="Seik Ta Ra" u="1"/>
        <s v="Yoe Ngu" u="1"/>
        <s v="Aung Sit Pyin ( Done Pike)" u="1"/>
        <s v=" A Htet Myat Lay" u="1"/>
        <s v="Aung Mingalar (NaTaLa)" u="1"/>
        <s v="Aung Thar Yar (NaTaLa)" u="1"/>
        <s v="Thit Tone Nar Lay Myo" u="1"/>
        <s v="Khaung Doke Khar" u="1"/>
        <s v="Myauk Ywar" u="1"/>
        <s v="Kyauk Sar Taing" u="1"/>
        <s v="Shar Du Zut KBC church " u="1"/>
        <s v="Tha Pyay Seik" u="1"/>
        <s v="Hu Hku &amp; Ho Hko" u="1"/>
        <s v="Shan Kone" u="1"/>
        <s v="Aung Zay Ya (Su See)" u="1"/>
        <s v="Ta Man Thar (Thar Zay)_(Myo)" u="1"/>
        <s v="Zup Aung Camp" u="1"/>
        <s v="Ka Nyin" u="1"/>
        <s v="Yoe Kyi Monastery" u="1"/>
        <s v="Shatapru Thida Aye Baptist Church" u="1"/>
        <s v="Let Saung Kauk" u="1"/>
        <s v="Than Du" u="1"/>
        <s v="Yoe Ta Yote" u="1"/>
      </sharedItems>
    </cacheField>
    <cacheField name="Total HH" numFmtId="164">
      <sharedItems containsSemiMixedTypes="0" containsString="0" containsNumber="1" containsInteger="1" minValue="22" maxValue="2428"/>
    </cacheField>
    <cacheField name="Total PoP " numFmtId="164">
      <sharedItems containsSemiMixedTypes="0" containsString="0" containsNumber="1" containsInteger="1" minValue="114" maxValue="13302"/>
    </cacheField>
    <cacheField name="Project start date" numFmtId="168">
      <sharedItems containsDate="1" containsBlank="1" containsMixedTypes="1" minDate="2018-12-01T00:00:00" maxDate="2019-04-02T00:00:00"/>
    </cacheField>
    <cacheField name="Project end date" numFmtId="165">
      <sharedItems containsDate="1" containsBlank="1" containsMixedTypes="1" minDate="2019-03-30T00:00:00" maxDate="2020-10-01T00:00:00"/>
    </cacheField>
    <cacheField name="#_students at TLS_CFS" numFmtId="164">
      <sharedItems containsString="0" containsBlank="1" containsNumber="1" containsInteger="1" minValue="46" maxValue="3364"/>
    </cacheField>
    <cacheField name="#_ paid camp based WASH skilled labor" numFmtId="164">
      <sharedItems containsString="0" containsBlank="1" containsNumber="1" containsInteger="1" minValue="2" maxValue="100"/>
    </cacheField>
    <cacheField name="#_paid camp based unskilled WASH unskilled labor" numFmtId="164">
      <sharedItems containsString="0" containsBlank="1" containsNumber="1" containsInteger="1" minValue="15" maxValue="230"/>
    </cacheField>
    <cacheField name="# Work days (approx) lost in this site due to access restrictions" numFmtId="164">
      <sharedItems containsBlank="1" containsMixedTypes="1" containsNumber="1" containsInteger="1" minValue="0" maxValue="2"/>
    </cacheField>
    <cacheField name="WASH Focal in camp management structure?" numFmtId="1">
      <sharedItems containsBlank="1"/>
    </cacheField>
    <cacheField name="#_men on camp WASH team" numFmtId="164">
      <sharedItems containsString="0" containsBlank="1" containsNumber="1" containsInteger="1" minValue="2" maxValue="78"/>
    </cacheField>
    <cacheField name="#_women on camp WASH team" numFmtId="164">
      <sharedItems containsString="0" containsBlank="1" containsNumber="1" containsInteger="1" minValue="2" maxValue="57"/>
    </cacheField>
    <cacheField name="#_Functional_improved_water_source" numFmtId="164">
      <sharedItems containsString="0" containsBlank="1" containsNumber="1" containsInteger="1" minValue="3" maxValue="290"/>
    </cacheField>
    <cacheField name="#_Existing_improved_water_source" numFmtId="164">
      <sharedItems containsString="0" containsBlank="1" containsNumber="1" containsInteger="1" minValue="3" maxValue="324"/>
    </cacheField>
    <cacheField name="#_litres_of_water_supplied_by_existing_water_boating/trucking " numFmtId="164">
      <sharedItems containsString="0" containsBlank="1" containsNumber="1" containsInteger="1" minValue="0" maxValue="5505156"/>
    </cacheField>
    <cacheField name="#_litres_of_water_stored_in_ponds" numFmtId="164">
      <sharedItems containsString="0" containsBlank="1" containsNumber="1" containsInteger="1" minValue="0" maxValue="22567549"/>
    </cacheField>
    <cacheField name="#_Water samples_Tested_at_water_source" numFmtId="164">
      <sharedItems containsString="0" containsBlank="1" containsNumber="1" containsInteger="1" minValue="0" maxValue="511"/>
    </cacheField>
    <cacheField name="#_Water samples _passed_at_water source" numFmtId="164">
      <sharedItems containsString="0" containsBlank="1" containsNumber="1" containsInteger="1" minValue="2" maxValue="246"/>
    </cacheField>
    <cacheField name="#_Water samples_Tested_at_HH" numFmtId="164">
      <sharedItems containsString="0" containsBlank="1" containsNumber="1" containsInteger="1" minValue="1" maxValue="242"/>
    </cacheField>
    <cacheField name="#_Water samples _passed_at_HH" numFmtId="164">
      <sharedItems containsString="0" containsBlank="1" containsNumber="1" containsInteger="1" minValue="1" maxValue="151"/>
    </cacheField>
    <cacheField name="#_HH_receiving_HH_water_storage items" numFmtId="164">
      <sharedItems containsString="0" containsBlank="1" containsNumber="1" containsInteger="1" minValue="716" maxValue="1010"/>
    </cacheField>
    <cacheField name="Avg_repair_time for_water_points_# days" numFmtId="164">
      <sharedItems containsString="0" containsBlank="1" containsNumber="1" containsInteger="1" minValue="3" maxValue="43"/>
    </cacheField>
    <cacheField name="#_Functional_water_point_at_TLS/CFS" numFmtId="164">
      <sharedItems containsString="0" containsBlank="1" containsNumber="1" containsInteger="1" minValue="0" maxValue="13"/>
    </cacheField>
    <cacheField name="WATER Comment" numFmtId="49">
      <sharedItems containsBlank="1"/>
    </cacheField>
    <cacheField name="#_Functional_adult_latrines" numFmtId="164">
      <sharedItems containsString="0" containsBlank="1" containsNumber="1" containsInteger="1" minValue="78" maxValue="469"/>
    </cacheField>
    <cacheField name="#_Existing_latrines" numFmtId="164">
      <sharedItems containsString="0" containsBlank="1" containsNumber="1" containsInteger="1" minValue="89" maxValue="778"/>
    </cacheField>
    <cacheField name="#_latrines_repaired" numFmtId="164">
      <sharedItems containsString="0" containsBlank="1" containsNumber="1" containsInteger="1" minValue="0" maxValue="150"/>
    </cacheField>
    <cacheField name="%_of_OD_within_15ft_of_latrines" numFmtId="9">
      <sharedItems containsString="0" containsBlank="1" containsNumber="1" minValue="0" maxValue="0.96"/>
    </cacheField>
    <cacheField name="#_m3_of_faecal_sludge_removed_from_camp" numFmtId="164">
      <sharedItems containsString="0" containsBlank="1" containsNumber="1" minValue="3" maxValue="665.6"/>
    </cacheField>
    <cacheField name="%_of_Men_that_feel_safe_to_use_latrines_when_they_need_to_(or_at_day/night)'?" numFmtId="0">
      <sharedItems containsString="0" containsBlank="1" containsNumber="1" minValue="0.28000000000000003" maxValue="1"/>
    </cacheField>
    <cacheField name="%_of_Women_that_feel_safe_to_use_latrines_when_they_need_to_(or_at_day/night)?" numFmtId="0">
      <sharedItems containsString="0" containsBlank="1" containsNumber="1" minValue="0.03" maxValue="1"/>
    </cacheField>
    <cacheField name="%_of_Boys_that_feel_safe_to_use_latrines_when_they_need_to_(or_at_day/night)?" numFmtId="0">
      <sharedItems containsString="0" containsBlank="1" containsNumber="1" minValue="0" maxValue="1"/>
    </cacheField>
    <cacheField name="%_of_Girlss_that_feel_safe_to_use_latrines_when_they_need_to_(or_at_day/night)?" numFmtId="0">
      <sharedItems containsString="0" containsBlank="1" containsNumber="1" minValue="0" maxValue="1"/>
    </cacheField>
    <cacheField name="#_of_functional_children_latrines" numFmtId="164">
      <sharedItems containsString="0" containsBlank="1" containsNumber="1" containsInteger="1" minValue="0" maxValue="32"/>
    </cacheField>
    <cacheField name="#_of_PWD_with_adapted_sanitation_option" numFmtId="164">
      <sharedItems containsString="0" containsBlank="1" containsNumber="1" containsInteger="1" minValue="10" maxValue="114"/>
    </cacheField>
    <cacheField name="#_of_latrines_in_TLS/CFS" numFmtId="164">
      <sharedItems containsString="0" containsBlank="1" containsNumber="1" containsInteger="1" minValue="0" maxValue="53"/>
    </cacheField>
    <cacheField name="Is_there_an_effective_solid_waste_management_system_in_place?" numFmtId="164">
      <sharedItems containsBlank="1" count="3">
        <s v="Yes"/>
        <s v="No"/>
        <m u="1"/>
      </sharedItems>
    </cacheField>
    <cacheField name="SANITATION Comments " numFmtId="49">
      <sharedItems containsBlank="1"/>
    </cacheField>
    <cacheField name="_#_of_Men_receiving_consultation_hygiene_promotion_messages_and_sessions" numFmtId="164">
      <sharedItems containsString="0" containsBlank="1" containsNumber="1" containsInteger="1" minValue="7" maxValue="1223"/>
    </cacheField>
    <cacheField name="_#_of_Women_receiving_consultation_hygiene_promotion_messages_and_sessions" numFmtId="164">
      <sharedItems containsString="0" containsBlank="1" containsNumber="1" containsInteger="1" minValue="23" maxValue="8330"/>
    </cacheField>
    <cacheField name="_#_of_Boys_receiving_consultation_hygiene_promotion_messages_and_sessions" numFmtId="164">
      <sharedItems containsString="0" containsBlank="1" containsNumber="1" containsInteger="1" minValue="0" maxValue="1151"/>
    </cacheField>
    <cacheField name="_#_of_Girls_receiving_consultation_hygiene_promotion_messages_and_sessions" numFmtId="164">
      <sharedItems containsString="0" containsBlank="1" containsNumber="1" containsInteger="1" minValue="0" maxValue="2947"/>
    </cacheField>
    <cacheField name="#_of_affected_households_receiving_a_sufficient_quantity_of_soap" numFmtId="164">
      <sharedItems containsString="0" containsBlank="1" containsNumber="1" containsInteger="1" minValue="22" maxValue="4520"/>
    </cacheField>
    <cacheField name="#_of_affected_women_and_girls_receiving_a_sufficient_quantity_of_sanitary_pads" numFmtId="164">
      <sharedItems containsString="0" containsBlank="1" containsNumber="1" containsInteger="1" minValue="40" maxValue="3699"/>
    </cacheField>
    <cacheField name="%_of_women_and_girls_who_report_that_they_have_an_adequate_system_for_disposing_of_used_sanitary_pads" numFmtId="0">
      <sharedItems containsString="0" containsBlank="1" containsNumber="1" minValue="0" maxValue="0.86"/>
    </cacheField>
    <cacheField name="%_of_affected_people_who_report_handwashing_at_key_times" numFmtId="0">
      <sharedItems containsString="0" containsBlank="1" containsNumber="1" minValue="0.94" maxValue="0.99"/>
    </cacheField>
    <cacheField name="%_of_households_observed_with_a_place_to_WASH_hands_with_soap_present" numFmtId="0">
      <sharedItems containsString="0" containsBlank="1" containsNumber="1" minValue="0.75" maxValue="0.98"/>
    </cacheField>
    <cacheField name="%_of_TLS/CFS_with_a_designated_place_for_children_to_wash_hands_where_soap_is_available" numFmtId="9">
      <sharedItems containsString="0" containsBlank="1" containsNumber="1" minValue="0" maxValue="1"/>
    </cacheField>
    <cacheField name="HYGIENE_Comments  _x000a_" numFmtId="49">
      <sharedItems containsNonDate="0" containsString="0" containsBlank="1"/>
    </cacheField>
    <cacheField name="%_of_affected_people_surveyed_who_report_feeling_satistfied_with_the_latrine_design_and_sanitation_service" numFmtId="9">
      <sharedItems containsString="0" containsBlank="1" containsNumber="1" minValue="0.6" maxValue="0.97"/>
    </cacheField>
    <cacheField name="%_of_affected_people_surveyed_who_report_feeling_satistfied_with_the_water_point_design_and_water_service" numFmtId="9">
      <sharedItems containsString="0" containsBlank="1" containsNumber="1" minValue="0.77" maxValue="0.95"/>
    </cacheField>
    <cacheField name="#_of_affected_people_surveyed_who_report_feeling_informed_about_the_different_WASH_services_available_to_them" numFmtId="0">
      <sharedItems containsString="0" containsBlank="1" containsNumber="1" minValue="0.98" maxValue="287"/>
    </cacheField>
    <cacheField name="%_of_complaints_received_that_result_in_timely_corrective_action_and_feedback_to_the_community" numFmtId="9">
      <sharedItems containsString="0" containsBlank="1" containsNumber="1" minValue="0.5" maxValue="1"/>
    </cacheField>
    <cacheField name="Diarrhoea_rate_per_10,000_ppl,_average_over_past_3_months_(extracted_from_EpiWeek_data_from_health)" numFmtId="0">
      <sharedItems containsString="0" containsBlank="1" containsNumber="1" minValue="0.01" maxValue="0.21"/>
    </cacheField>
    <cacheField name="Have_any_groups_been_excluded_from_access_to_WASH_facilities_because_of_the_handover?" numFmtId="0">
      <sharedItems containsBlank="1"/>
    </cacheField>
    <cacheField name="What_are_IDP's_primary_concerns_on_WASH_related_to_camp_closure?" numFmtId="49">
      <sharedItems containsBlank="1"/>
    </cacheField>
    <cacheField name="Do_you_know_who_is_responsible_to_maintain_and_repair_WASH_facilities?" numFmtId="49">
      <sharedItems containsBlank="1"/>
    </cacheField>
    <cacheField name="%of Water samples which passed at water source" numFmtId="9">
      <sharedItems containsMixedTypes="1" containsNumber="1" minValue="0.48140900195694714" maxValue="1"/>
    </cacheField>
    <cacheField name="%Water samples which passed at HH" numFmtId="9">
      <sharedItems containsMixedTypes="1" containsNumber="1" minValue="0" maxValue="1"/>
    </cacheField>
    <cacheField name="Warter quality test done" numFmtId="1">
      <sharedItems containsBlank="1" count="3">
        <s v="Tested"/>
        <s v="No Test"/>
        <m u="1"/>
      </sharedItems>
    </cacheField>
    <cacheField name="Access to safe/improved water through improved water sources" numFmtId="9">
      <sharedItems containsSemiMixedTypes="0" containsString="0" containsNumber="1" minValue="0" maxValue="1"/>
    </cacheField>
    <cacheField name="# people with equitable and continuous access to sufficient quantity of safe drinking water" numFmtId="1">
      <sharedItems containsSemiMixedTypes="0" containsString="0" containsNumber="1" minValue="0" maxValue="13302"/>
    </cacheField>
    <cacheField name="% Access to unimproved water points" numFmtId="9">
      <sharedItems containsSemiMixedTypes="0" containsString="0" containsNumber="1" minValue="0" maxValue="1"/>
    </cacheField>
    <cacheField name="#People access to unimproved water sources" numFmtId="1">
      <sharedItems containsSemiMixedTypes="0" containsString="0" containsNumber="1" minValue="0" maxValue="6042"/>
    </cacheField>
    <cacheField name="% HRP1" numFmtId="9">
      <sharedItems containsSemiMixedTypes="0" containsString="0" containsNumber="1" minValue="0.27238436231440255" maxValue="1"/>
    </cacheField>
    <cacheField name="HRP1" numFmtId="1">
      <sharedItems containsSemiMixedTypes="0" containsString="0" containsNumber="1" minValue="114" maxValue="13302"/>
    </cacheField>
    <cacheField name="#Water points coverage" numFmtId="1">
      <sharedItems containsSemiMixedTypes="0" containsString="0" containsNumber="1" minValue="0.22800000000000001" maxValue="26.603999999999999"/>
    </cacheField>
    <cacheField name="%equitable and continuous access to sufficient quantity of safe drinking and domestic water's GAP" numFmtId="9">
      <sharedItems containsSemiMixedTypes="0" containsString="0" containsNumber="1" minValue="0" maxValue="0.72761563768559745"/>
    </cacheField>
    <cacheField name="# people needs equitable and continuous access to sufficient quantity of safe drinking and domestic water GAP" numFmtId="1">
      <sharedItems containsSemiMixedTypes="0" containsString="0" containsNumber="1" minValue="0" maxValue="3432.1629629629633"/>
    </cacheField>
    <cacheField name="Total required water points" numFmtId="1">
      <sharedItems containsSemiMixedTypes="0" containsString="0" containsNumber="1" containsInteger="1" minValue="1" maxValue="27"/>
    </cacheField>
    <cacheField name="#Potential required new water points" numFmtId="1">
      <sharedItems containsSemiMixedTypes="0" containsString="0" containsNumber="1" minValue="0" maxValue="6.430325925925926"/>
    </cacheField>
    <cacheField name="% HRP2" numFmtId="9">
      <sharedItems containsSemiMixedTypes="0" containsString="0" containsNumber="1" minValue="0" maxValue="1"/>
    </cacheField>
    <cacheField name="HRP2" numFmtId="1">
      <sharedItems containsSemiMixedTypes="0" containsString="0" containsNumber="1" containsInteger="1" minValue="0" maxValue="11564"/>
    </cacheField>
    <cacheField name="# students access to functioning school latrines" numFmtId="1">
      <sharedItems containsSemiMixedTypes="0" containsString="0" containsNumber="1" containsInteger="1" minValue="0" maxValue="1444"/>
    </cacheField>
    <cacheField name="Total required Latrines" numFmtId="1">
      <sharedItems containsSemiMixedTypes="0" containsString="0" containsNumber="1" containsInteger="1" minValue="6" maxValue="665"/>
    </cacheField>
    <cacheField name="# potential required new latrines" numFmtId="1">
      <sharedItems containsSemiMixedTypes="0" containsString="0" containsNumber="1" containsInteger="1" minValue="0" maxValue="168"/>
    </cacheField>
    <cacheField name="% of Latrine Gap" numFmtId="9">
      <sharedItems containsSemiMixedTypes="0" containsString="0" containsNumber="1" minValue="0" maxValue="1"/>
    </cacheField>
    <cacheField name="% Latrines requiring  repairs" numFmtId="9">
      <sharedItems containsMixedTypes="1" containsNumber="1" minValue="0" maxValue="0.43958868894601544"/>
    </cacheField>
    <cacheField name="# people reached by regular dedicated hygiene promotion_5" numFmtId="1">
      <sharedItems containsSemiMixedTypes="0" containsString="0" containsNumber="1" containsInteger="1" minValue="0" maxValue="12753"/>
    </cacheField>
    <cacheField name="# People with access to soap" numFmtId="1">
      <sharedItems containsSemiMixedTypes="0" containsString="0" containsNumber="1" containsInteger="1" minValue="0" maxValue="13302"/>
    </cacheField>
    <cacheField name="# People with access to Sanity Pads" numFmtId="1">
      <sharedItems containsSemiMixedTypes="0" containsString="0" containsNumber="1" containsInteger="1" minValue="0" maxValue="3699"/>
    </cacheField>
    <cacheField name="# People received regular supply of hygiene items_6" numFmtId="1">
      <sharedItems containsSemiMixedTypes="0" containsString="0" containsNumber="1" containsInteger="1" minValue="0" maxValue="13302"/>
    </cacheField>
    <cacheField name="HRP3" numFmtId="1">
      <sharedItems containsSemiMixedTypes="0" containsString="0" containsNumber="1" containsInteger="1" minValue="0" maxValue="13302"/>
    </cacheField>
    <cacheField name="Hygiene Coverage%" numFmtId="9">
      <sharedItems containsSemiMixedTypes="0" containsString="0" containsNumber="1" minValue="0" maxValue="1"/>
    </cacheField>
    <cacheField name="Hygiene Gap%" numFmtId="9">
      <sharedItems containsSemiMixedTypes="0" containsString="0" containsNumber="1" minValue="0" maxValue="1"/>
    </cacheField>
    <cacheField name="%people reached by regular dedicated hygiene promotion" numFmtId="9">
      <sharedItems containsSemiMixedTypes="0" containsString="0" containsNumber="1" minValue="0" maxValue="1"/>
    </cacheField>
    <cacheField name="%HH with access to soap" numFmtId="9">
      <sharedItems containsSemiMixedTypes="0" containsString="0" containsNumber="1" minValue="0" maxValue="1"/>
    </cacheField>
    <cacheField name="Sites with TLS" numFmtId="1">
      <sharedItems count="2">
        <s v="Yes"/>
        <s v="No"/>
      </sharedItems>
    </cacheField>
    <cacheField name="CCCM Management" numFmtId="0">
      <sharedItems containsMixedTypes="1" containsNumber="1" containsInteger="1" minValue="0" maxValue="0"/>
    </cacheField>
    <cacheField name="CCCM Focal Agency" numFmtId="0">
      <sharedItems containsSemiMixedTypes="0" containsString="0" containsNumber="1" containsInteger="1" minValue="0" maxValue="0"/>
    </cacheField>
    <cacheField name="Location Type 1" numFmtId="0">
      <sharedItems/>
    </cacheField>
    <cacheField name="Type of accommodation" numFmtId="0">
      <sharedItems containsMixedTypes="1" containsNumber="1" containsInteger="1" minValue="0" maxValue="0" count="5">
        <s v="Planned Camp"/>
        <s v="Host Families"/>
        <s v="Individual House"/>
        <s v="Self Settled Camp"/>
        <n v="0" u="1"/>
      </sharedItems>
    </cacheField>
    <cacheField name="Ethnic or GCA/NGCA" numFmtId="0">
      <sharedItems containsMixedTypes="1" containsNumber="1" minValue="0" maxValue="97.49136" count="340">
        <s v="Muslim"/>
        <n v="0" u="1"/>
        <n v="20.181405999999999" u="1"/>
        <n v="20.8550128936768" u="1"/>
        <n v="20.201499999999999" u="1"/>
        <n v="20.645240783999999" u="1"/>
        <n v="23.682887999999998" u="1"/>
        <n v="25.371049444444399" u="1"/>
        <n v="26.569633" u="1"/>
        <n v="19.611209869384801" u="1"/>
        <n v="20.482030868999999" u="1"/>
        <n v="24.200367" u="1"/>
        <n v="24.263786" u="1"/>
        <n v="25.404752999999999" u="1"/>
        <n v="20.0641" u="1"/>
        <n v="20.713259999999998" u="1"/>
        <n v="23.400155999999999" u="1"/>
        <n v="23.4008" u="1"/>
        <n v="25.350809000000002" u="1"/>
        <n v="25.635300000000001" u="1"/>
        <n v="20.183790206909201" u="1"/>
        <n v="20.509660720999999" u="1"/>
        <n v="20.705930709838899" u="1"/>
        <n v="24.996279999999999" u="1"/>
        <n v="25.220278" u="1"/>
        <n v="25.321710740740698" u="1"/>
        <n v="19.424576999999999" u="1"/>
        <n v="20.191719055175799" u="1"/>
        <n v="24.222349999999999" u="1"/>
        <n v="97.49136" u="1"/>
        <n v="20.167421999999998" u="1"/>
        <n v="20.339799880981399" u="1"/>
        <n v="20.394809723000002" u="1"/>
        <n v="20.903770446777301" u="1"/>
        <n v="23.460349999999998" u="1"/>
        <n v="23.83013" u="1"/>
        <n v="19.421102000000001" u="1"/>
        <n v="21.000970840454102" u="1"/>
        <n v="25.493819999999999" u="1"/>
        <n v="20.494340897000001" u="1"/>
        <n v="20.711349487304702" u="1"/>
        <n v="23.591999999999999" u="1"/>
        <n v="27.337499999999999" u="1"/>
        <n v="20.398889541999999" u="1"/>
        <n v="20.569759368896499" u="1"/>
        <n v="23.829599000000002" u="1"/>
        <n v="24.08738" u="1"/>
        <n v="24.2631743589744" u="1"/>
        <n v="25.424529444444399" u="1"/>
        <n v="25.51352" u="1"/>
        <n v="20.731571197509801" u="1"/>
        <n v="22.677008000000001" u="1"/>
        <n v="19.7062797546387" u="1"/>
        <n v="20.179939999999998" u="1"/>
        <n v="20.272630691528299" u="1"/>
        <n v="23.250678000000001" u="1"/>
        <n v="23.828150000000001" u="1"/>
        <n v="24.056132999999999" u="1"/>
        <n v="24.24766" u="1"/>
        <n v="25.299679999999999" u="1"/>
        <n v="20.677059173583999" u="1"/>
        <n v="20.785770416259801" u="1"/>
        <n v="20.057860999999999" u="1"/>
        <n v="20.148584" u="1"/>
        <n v="20.151471999999998" u="1"/>
        <n v="20.16846" u="1"/>
        <n v="20.194370269775401" u="1"/>
        <n v="20.78332" u="1"/>
        <n v="23.099304" u="1"/>
        <n v="23.353999999999999" u="1"/>
        <n v="24.251860000000001" u="1"/>
        <n v="25.362420757575801" u="1"/>
        <n v="25.374343974359" u="1"/>
        <n v="26.548506" u="1"/>
        <n v="19.591590881347699" u="1"/>
        <n v="20.392137999999999" u="1"/>
        <n v="20.495670318603501" u="1"/>
        <n v="20.851089477539102" u="1"/>
        <n v="25.440928" u="1"/>
        <n v="25.656009999999998" u="1"/>
        <n v="19.721389770507798" u="1"/>
        <n v="20.786739349365199" u="1"/>
        <n v="20.806400299072301" u="1"/>
        <n v="24.245100000000001" u="1"/>
        <n v="25.265277999999999" u="1"/>
        <n v="25.415667500000001" u="1"/>
        <n v="19.725629806518601" u="1"/>
        <n v="20.18994" u="1"/>
        <n v="20.260789871215799" u="1"/>
        <n v="20.478969573974599" u="1"/>
        <n v="20.866529464721701" u="1"/>
        <n v="23.450914000000001" u="1"/>
        <n v="25.6145" u="1"/>
        <n v="20.564739227" u="1"/>
        <n v="23.694130000000001" u="1"/>
        <n v="24.200361000000001" u="1"/>
        <n v="24.404876999999999" u="1"/>
        <n v="25.423817" u="1"/>
        <n v="19.962713241577099" u="1"/>
        <n v="20.470119476318398" u="1"/>
        <n v="23.821380000000001" u="1"/>
        <n v="23.828520000000001" u="1"/>
        <n v="24.378167000000001" u="1"/>
        <n v="27.248964999999998" u="1"/>
        <n v="19.925739288330099" u="1"/>
        <n v="20.727589999999999" u="1"/>
        <n v="24.461033" u="1"/>
        <n v="25.403476999999999" u="1"/>
        <n v="25.404015000000001" u="1"/>
        <n v="25.613894999999999" u="1"/>
        <n v="25.920006000000001" u="1"/>
        <n v="20.463909149169901" u="1"/>
        <n v="20.910375595092798" u="1"/>
        <n v="24.260466999999998" u="1"/>
        <n v="25.305669999999999" u="1"/>
        <n v="25.360463124999999" u="1"/>
        <n v="20.037655000000001" u="1"/>
        <n v="24.260719999999999" u="1"/>
        <n v="24.764959999999999" u="1"/>
        <n v="25.418084" u="1"/>
        <n v="20.041981" u="1"/>
        <n v="20.497299194335898" u="1"/>
        <n v="20.8037109375" u="1"/>
        <n v="20.824777999999998" u="1"/>
        <n v="24.268292826086999" u="1"/>
        <n v="24.29138" u="1"/>
        <n v="25.305008999999998" u="1"/>
        <n v="25.401061110000001" u="1"/>
        <n v="25.4118005797101" u="1"/>
        <n v="20.212700000000002" u="1"/>
        <n v="20.596279144" u="1"/>
        <n v="20.946010589599599" u="1"/>
        <n v="24.129059999999999" u="1"/>
        <n v="97.431079999999994" u="1"/>
        <n v="19.991359710693398" u="1"/>
        <n v="20.180194" u="1"/>
        <n v="20.821479797363299" u="1"/>
        <n v="25.647649999999999" u="1"/>
        <n v="19.484790802001999" u="1"/>
        <n v="19.627199172973601" u="1"/>
        <n v="19.639009475708001" u="1"/>
        <n v="20.235199999999999" u="1"/>
        <n v="20.803529739379901" u="1"/>
        <n v="20.886997999999998" u="1"/>
        <n v="25.200333000000001" u="1"/>
        <n v="25.889410000000002" u="1"/>
        <n v="20.0087699890137" u="1"/>
        <n v="20.245159149169901" u="1"/>
        <n v="20.697889328002901" u="1"/>
        <n v="20.723630905151399" u="1"/>
        <n v="20.8490600585938" u="1"/>
        <n v="20.865687000000001" u="1"/>
        <n v="20.8950595855713" u="1"/>
        <n v="23.372409999999999" u="1"/>
        <n v="24.253067000000001" u="1"/>
        <n v="20.4625244140625" u="1"/>
        <n v="23.611999999999998" u="1"/>
        <n v="20.473930358886701" u="1"/>
        <n v="20.831729888916001" u="1"/>
        <n v="20.859569549560501" u="1"/>
        <n v="25.351250396825399" u="1"/>
        <n v="25.423209" u="1"/>
        <n v="20.155805999999998" u="1"/>
        <n v="20.632720946999999" u="1"/>
        <n v="24.002433" u="1"/>
        <n v="19.646549224853501" u="1"/>
        <n v="20.1573600769043" u="1"/>
        <n v="24.752471" u="1"/>
        <n v="25.333683333333301" u="1"/>
        <n v="25.3510167948718" u="1"/>
        <n v="25.3959740909091" u="1"/>
        <n v="20.1438598632813" u="1"/>
        <n v="20.1585" u="1"/>
        <n v="20.179417000000001" u="1"/>
        <n v="20.182987000000001" u="1"/>
        <n v="20.202525000000001" u="1"/>
        <n v="20.5047302246094" u="1"/>
        <n v="23.38503" u="1"/>
        <n v="24.32638" u="1"/>
        <n v="24.755253" u="1"/>
        <n v="25.351724999999998" u="1"/>
        <n v="23.588920000000002" u="1"/>
        <n v="25.415482000000001" u="1"/>
        <n v="20.709970473999999" u="1"/>
        <n v="23.463000000000001" u="1"/>
        <n v="23.976571" u="1"/>
        <n v="24.207332999999998" u="1"/>
        <n v="20.185917" u="1"/>
        <n v="20.218299999999999" u="1"/>
        <n v="20.453830718994102" u="1"/>
        <n v="23.24661" u="1"/>
        <n v="20.807970046997099" u="1"/>
        <n v="20.926780700683601" u="1"/>
        <n v="23.841646999999998" u="1"/>
        <n v="25.410569299999999" u="1"/>
        <n v="25.412313000000001" u="1"/>
        <n v="19.989589691162099" u="1"/>
        <n v="20.181742" u="1"/>
        <n v="20.396680832000001" u="1"/>
        <n v="20.872400283813501" u="1"/>
        <n v="24.006319999999999" u="1"/>
        <n v="24.998349999999999" u="1"/>
        <n v="25.599250000000001" u="1"/>
        <n v="25.616509000000001" u="1"/>
        <n v="97.010629910000006" u="1"/>
        <n v="19.610979080200199" u="1"/>
        <n v="20.361530303999999" u="1"/>
        <n v="20.630609511999999" u="1"/>
        <n v="24.661905999999998" u="1"/>
        <n v="24.980250000000002" u="1"/>
        <n v="25.428910999999999" u="1"/>
        <n v="25.582065" u="1"/>
        <n v="25.754110000000001" u="1"/>
        <n v="20.0839" u="1"/>
        <n v="20.108101999999999" u="1"/>
        <n v="20.1975498199463" u="1"/>
        <n v="25.356632000000001" u="1"/>
        <n v="26.541930000000001" u="1"/>
        <n v="97.104997409999996" u="1"/>
        <n v="20.162599563598601" u="1"/>
        <n v="19.955690383911101" u="1"/>
        <n v="20.1934604644775" u="1"/>
        <n v="20.987419128418001" u="1"/>
        <n v="25.637309999999999" u="1"/>
        <n v="20.480100631713899" u="1"/>
        <n v="20.785699844360401" u="1"/>
        <n v="24.250689999999999" u="1"/>
        <n v="20.206778" u="1"/>
        <n v="20.486930847168001" u="1"/>
        <n v="20.716699600219702" u="1"/>
        <n v="20.864519119262699" u="1"/>
        <n v="20.651939392089801" u="1"/>
        <n v="19.985679626464801" u="1"/>
        <n v="20.608819961999998" u="1"/>
        <n v="23.354268999999999" u="1"/>
        <n v="25.225000000000001" u="1"/>
        <n v="25.409612685185198" u="1"/>
        <n v="19.988689422607401" u="1"/>
        <n v="20.286720275878899" u="1"/>
        <n v="20.581470489501999" u="1"/>
        <n v="20.681715011596701" u="1"/>
        <n v="20.703550338745099" u="1"/>
        <n v="25.577559999999998" u="1"/>
        <n v="25.611160000000002" u="1"/>
        <n v="97.013800000000003" u="1"/>
        <n v="25.351965" u="1"/>
        <n v="20.099340438842798" u="1"/>
        <n v="20.335864000000001" u="1"/>
        <n v="25.60867" u="1"/>
        <n v="20.181778000000001" u="1"/>
        <n v="23.835319999999999" u="1"/>
        <n v="23.838190000000001" u="1"/>
        <n v="23.972453000000002" u="1"/>
        <n v="24.2744" u="1"/>
        <n v="20.204370498657202" u="1"/>
        <n v="20.399269" u="1"/>
        <n v="20.502599716186499" u="1"/>
        <n v="23.094290000000001" u="1"/>
        <n v="23.850999999999999" u="1"/>
        <n v="25.56551" u="1"/>
        <n v="19.434253692626999" u="1"/>
        <n v="19.726810455322301" u="1"/>
        <n v="25.615960999999999" u="1"/>
        <n v="20.229290008544901" u="1"/>
        <n v="20.627639770507798" u="1"/>
        <n v="21.025630950927699" u="1"/>
        <n v="23.933098999999999" u="1"/>
        <n v="20.148910522460898" u="1"/>
        <n v="20.587142" u="1"/>
        <n v="20.809240341186499" u="1"/>
        <n v="20.894269943237301" u="1"/>
        <n v="24.688338999999999" u="1"/>
        <n v="25.61842" u="1"/>
        <n v="24.118618999999999" u="1"/>
        <n v="24.251232000000002" u="1"/>
        <n v="24.764800000000001" u="1"/>
        <n v="25.422194000000001" u="1"/>
        <n v="20.207284999999999" u="1"/>
        <n v="20.805580139160199" u="1"/>
        <n v="20.903369903564499" u="1"/>
        <n v="21.0094203948975" u="1"/>
        <n v="19.615800857543899" u="1"/>
        <n v="19.930080413818398" u="1"/>
        <n v="20.218471527099599" u="1"/>
        <n v="20.46994972229" u="1"/>
        <n v="24.24953" u="1"/>
        <n v="25.3540362037037" u="1"/>
        <n v="20.5199794769287" u="1"/>
        <n v="23.827870999999998" u="1"/>
        <n v="24.205417000000001" u="1"/>
        <n v="25.417733999999999" u="1"/>
        <n v="19.738719940185501" u="1"/>
        <n v="20.506580353" u="1"/>
        <n v="24.200433" u="1"/>
        <n v="25.617998" u="1"/>
        <n v="27.311699999999998" u="1"/>
        <n v="20.2302" u="1"/>
        <n v="20.696819999999999" u="1"/>
        <n v="20.697229385376001" u="1"/>
        <n v="20.720213000000001" u="1"/>
        <n v="20.805734000000001" u="1"/>
        <n v="24.006789000000001" u="1"/>
        <n v="24.377054000000001" u="1"/>
        <n v="20.489089965820298" u="1"/>
        <n v="21.007270812988299" u="1"/>
        <n v="24.831944" u="1"/>
        <n v="25.887339999999998" u="1"/>
        <n v="19.988599777221701" u="1"/>
        <n v="20.090183" u="1"/>
        <n v="20.39902" u="1"/>
        <n v="25.668399999999998" u="1"/>
        <n v="20.128488999999998" u="1"/>
        <n v="20.202400000000001" u="1"/>
        <n v="20.424389999999999" u="1"/>
        <n v="20.644098281860401" u="1"/>
        <n v="20.782770156860401" u="1"/>
        <n v="20.936040878295898" u="1"/>
        <n v="23.833477999999999" u="1"/>
        <n v="25.345918166666699" u="1"/>
        <n v="25.645959999999999" u="1"/>
        <n v="20.064226000000001" u="1"/>
        <n v="20.292100000000001" u="1"/>
        <n v="25.296579999999999" u="1"/>
        <n v="25.3660036111111" u="1"/>
        <n v="19.619289398193398" u="1"/>
        <n v="20.127127999999999" u="1"/>
        <n v="25.30442" u="1"/>
        <n v="19.686580657958999" u="1"/>
        <n v="20.185092000000001" u="1"/>
        <n v="22.765999999999998" u="1"/>
        <n v="20.555610656738299" u="1"/>
        <n v="23.447111" u="1"/>
        <n v="19.9947109222412" u="1"/>
        <n v="20.073437999999999" u="1"/>
        <n v="20.464775085449201" u="1"/>
        <n v="20.6080207824707" u="1"/>
        <n v="25.566510000000001" u="1"/>
        <n v="19.9044303894043" u="1"/>
        <n v="20.268000000000001" u="1"/>
        <n v="24.200972" u="1"/>
      </sharedItems>
    </cacheField>
    <cacheField name="Lat" numFmtId="0">
      <sharedItems containsSemiMixedTypes="0" containsString="0" containsNumber="1" minValue="19.424576999999999" maxValue="20.865687000000001"/>
    </cacheField>
    <cacheField name="Long" numFmtId="0">
      <sharedItems containsSemiMixedTypes="0" containsString="0" containsNumber="1" minValue="92.774193999999994" maxValue="93.512326000000002"/>
    </cacheField>
    <cacheField name="Pcode" numFmtId="0">
      <sharedItems/>
    </cacheField>
    <cacheField name="Covered" numFmtId="0">
      <sharedItems containsBlank="1" count="4">
        <s v="Covered"/>
        <m u="1"/>
        <e v="#REF!" u="1"/>
        <s v="Notcovered" u="1"/>
      </sharedItems>
    </cacheField>
    <cacheField name="# of Male_People with disabilities" numFmtId="0">
      <sharedItems containsSemiMixedTypes="0" containsString="0" containsNumber="1" containsInteger="1" minValue="0" maxValue="283"/>
    </cacheField>
    <cacheField name="# of Female_People with disabilities" numFmtId="0">
      <sharedItems containsSemiMixedTypes="0" containsString="0" containsNumber="1" containsInteger="1" minValue="0" maxValue="1333"/>
    </cacheField>
    <cacheField name="# of Total_People with disabilities" numFmtId="0">
      <sharedItems containsSemiMixedTypes="0" containsString="0" containsNumber="1" containsInteger="1" minValue="0" maxValue="1547"/>
    </cacheField>
    <cacheField name="Remark" numFmtId="0">
      <sharedItems containsNonDate="0" containsString="0" containsBlank="1"/>
    </cacheField>
    <cacheField name="% Hygiene Gap" numFmtId="0" formula=" 1-'% Hygiene Coverage'" databaseField="0"/>
    <cacheField name="% Hygiene Coverage" numFmtId="0" formula="HRP3/'Total PoP '" databaseField="0"/>
    <cacheField name="% Water Coverage" numFmtId="0" formula="HRP1/'Total PoP '" databaseField="0"/>
    <cacheField name="% Water GAP" numFmtId="0" formula=" 1-'% Water Coverage'" databaseField="0"/>
    <cacheField name="% Sanitation Coverage" numFmtId="0" formula="HRP2/'Total PoP '" databaseField="0"/>
    <cacheField name="% Sanitation GAP" numFmtId="0" formula=" 1-'% Sanitation Coverag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x v="0"/>
    <x v="0"/>
    <x v="0"/>
    <s v="ECHO, OFDA, MHF"/>
    <x v="0"/>
    <x v="0"/>
    <x v="0"/>
    <x v="0"/>
    <n v="1249"/>
    <n v="4717"/>
    <s v="28/02/2018 and 28/02/2019, 01/07/2018, 01/10/2018"/>
    <s v="28/02/2019 and 28/02/2020, 30/06/2019, 30/09/2019"/>
    <n v="965"/>
    <m/>
    <m/>
    <s v=" -   "/>
    <s v="Yes"/>
    <n v="13"/>
    <n v="2"/>
    <m/>
    <n v="6"/>
    <n v="756000"/>
    <n v="978530"/>
    <n v="4"/>
    <n v="2"/>
    <n v="4"/>
    <m/>
    <m/>
    <m/>
    <m/>
    <m/>
    <n v="169"/>
    <n v="178"/>
    <n v="7"/>
    <m/>
    <m/>
    <n v="0.37"/>
    <n v="0.34"/>
    <n v="0.37"/>
    <n v="0.34"/>
    <n v="24"/>
    <n v="69"/>
    <n v="4"/>
    <x v="0"/>
    <m/>
    <m/>
    <m/>
    <m/>
    <m/>
    <n v="1244"/>
    <n v="2423"/>
    <m/>
    <m/>
    <m/>
    <n v="1"/>
    <m/>
    <n v="0.71"/>
    <m/>
    <m/>
    <m/>
    <n v="0.01"/>
    <m/>
    <m/>
    <m/>
    <n v="0.5"/>
    <n v="0"/>
    <x v="0"/>
    <n v="0.11871952512189951"/>
    <n v="560"/>
    <n v="0.15366483719250307"/>
    <n v="724.83703703703702"/>
    <n v="0.27238436231440255"/>
    <n v="1284.8370370370371"/>
    <n v="2.5696740740740744"/>
    <n v="0.72761563768559745"/>
    <n v="3432.1629629629633"/>
    <n v="9"/>
    <n v="6.430325925925926"/>
    <n v="0.87534449862200547"/>
    <n v="4129"/>
    <n v="200"/>
    <n v="236"/>
    <n v="58"/>
    <n v="0.12465550137799453"/>
    <n v="5.0561797752808987E-2"/>
    <n v="0"/>
    <n v="4717"/>
    <n v="2423"/>
    <n v="4717"/>
    <n v="4717"/>
    <n v="1"/>
    <n v="0"/>
    <n v="0"/>
    <n v="0.99599679743795033"/>
    <x v="0"/>
    <s v="Yes"/>
    <n v="0"/>
    <s v="Camp"/>
    <x v="0"/>
    <x v="0"/>
    <n v="20.108101999999999"/>
    <n v="92.985095000000001"/>
    <s v="MMR012CMP016"/>
    <x v="0"/>
    <n v="79"/>
    <n v="615"/>
    <n v="694"/>
    <m/>
  </r>
  <r>
    <x v="0"/>
    <x v="1"/>
    <x v="1"/>
    <s v="DFID/HARP"/>
    <x v="0"/>
    <x v="1"/>
    <x v="0"/>
    <x v="1"/>
    <n v="397"/>
    <n v="2111"/>
    <m/>
    <d v="2020-09-30T00:00:00"/>
    <n v="1642"/>
    <n v="16"/>
    <n v="35"/>
    <n v="0"/>
    <s v="No"/>
    <n v="10"/>
    <n v="5"/>
    <n v="22"/>
    <n v="25"/>
    <m/>
    <m/>
    <n v="25"/>
    <n v="23"/>
    <n v="69"/>
    <n v="43"/>
    <m/>
    <m/>
    <n v="7"/>
    <m/>
    <n v="117"/>
    <n v="120"/>
    <n v="0"/>
    <n v="0.37"/>
    <n v="40"/>
    <n v="1"/>
    <n v="1"/>
    <n v="0.91"/>
    <n v="0.91"/>
    <m/>
    <m/>
    <n v="9"/>
    <x v="0"/>
    <m/>
    <n v="21"/>
    <n v="176"/>
    <n v="197"/>
    <n v="160"/>
    <n v="379"/>
    <n v="882"/>
    <m/>
    <m/>
    <m/>
    <n v="0.78"/>
    <m/>
    <m/>
    <m/>
    <n v="1"/>
    <n v="0.5"/>
    <m/>
    <m/>
    <m/>
    <m/>
    <n v="0.92"/>
    <n v="0.62318840579710144"/>
    <x v="0"/>
    <n v="1"/>
    <n v="2111"/>
    <n v="0"/>
    <n v="0"/>
    <n v="1"/>
    <n v="2111"/>
    <n v="4.2220000000000004"/>
    <n v="0"/>
    <n v="0"/>
    <n v="4"/>
    <n v="0"/>
    <n v="1"/>
    <n v="2111"/>
    <n v="450"/>
    <n v="106"/>
    <n v="0"/>
    <n v="0"/>
    <n v="2.5000000000000001E-2"/>
    <n v="554"/>
    <n v="1895"/>
    <n v="882"/>
    <n v="1895"/>
    <n v="1895"/>
    <n v="0.89767882520132636"/>
    <n v="0.10232117479867364"/>
    <n v="0.26243486499289437"/>
    <n v="0.95465994962216627"/>
    <x v="0"/>
    <s v="Yes"/>
    <n v="0"/>
    <s v="Camp"/>
    <x v="0"/>
    <x v="0"/>
    <n v="20.128488999999998"/>
    <n v="92.875814000000005"/>
    <s v="MMR012CMP039"/>
    <x v="0"/>
    <n v="99"/>
    <n v="287"/>
    <n v="386"/>
    <m/>
  </r>
  <r>
    <x v="0"/>
    <x v="1"/>
    <x v="1"/>
    <s v="DFID/HARP"/>
    <x v="0"/>
    <x v="1"/>
    <x v="0"/>
    <x v="2"/>
    <n v="1016"/>
    <n v="4892"/>
    <m/>
    <d v="2020-09-30T00:00:00"/>
    <n v="3364"/>
    <n v="49"/>
    <n v="223"/>
    <n v="0"/>
    <s v="No"/>
    <n v="16"/>
    <n v="7"/>
    <n v="39"/>
    <n v="50"/>
    <m/>
    <m/>
    <n v="3"/>
    <n v="3"/>
    <m/>
    <m/>
    <m/>
    <m/>
    <n v="6"/>
    <m/>
    <n v="169"/>
    <n v="254"/>
    <n v="150"/>
    <n v="0.8"/>
    <n v="536"/>
    <n v="0.98"/>
    <n v="0.9"/>
    <n v="0.9"/>
    <n v="0.9"/>
    <m/>
    <m/>
    <n v="15"/>
    <x v="0"/>
    <m/>
    <n v="208"/>
    <n v="817"/>
    <n v="1151"/>
    <n v="1169"/>
    <n v="1016"/>
    <n v="1602"/>
    <m/>
    <m/>
    <m/>
    <n v="0.8"/>
    <m/>
    <m/>
    <m/>
    <n v="0.98"/>
    <n v="0.63"/>
    <m/>
    <m/>
    <m/>
    <m/>
    <n v="1"/>
    <s v="no test"/>
    <x v="0"/>
    <n v="1"/>
    <n v="4892"/>
    <n v="0"/>
    <n v="0"/>
    <n v="1"/>
    <n v="4892"/>
    <n v="9.7840000000000007"/>
    <n v="0"/>
    <n v="0"/>
    <n v="10"/>
    <n v="0.2159999999999993"/>
    <n v="0.84423548650858549"/>
    <n v="4130"/>
    <n v="750"/>
    <n v="245"/>
    <n v="0"/>
    <n v="0.15576451349141451"/>
    <n v="0.3346456692913386"/>
    <n v="3345"/>
    <n v="4892"/>
    <n v="1602"/>
    <n v="4892"/>
    <n v="4892"/>
    <n v="1"/>
    <n v="0"/>
    <n v="0.68376941946034342"/>
    <n v="1"/>
    <x v="0"/>
    <s v="Yes"/>
    <n v="0"/>
    <s v="Camp"/>
    <x v="0"/>
    <x v="0"/>
    <n v="20.179417000000001"/>
    <n v="92.813028000000003"/>
    <s v="MMR012CMP113"/>
    <x v="0"/>
    <n v="124"/>
    <n v="410"/>
    <n v="534"/>
    <m/>
  </r>
  <r>
    <x v="0"/>
    <x v="1"/>
    <x v="1"/>
    <s v="DFID/HARP"/>
    <x v="0"/>
    <x v="1"/>
    <x v="0"/>
    <x v="3"/>
    <n v="1311"/>
    <n v="6936"/>
    <m/>
    <d v="2020-09-30T00:00:00"/>
    <n v="3041"/>
    <m/>
    <m/>
    <s v=" -   "/>
    <m/>
    <m/>
    <m/>
    <n v="63"/>
    <n v="80"/>
    <m/>
    <m/>
    <m/>
    <m/>
    <m/>
    <m/>
    <m/>
    <m/>
    <n v="2"/>
    <m/>
    <n v="259"/>
    <n v="328"/>
    <m/>
    <m/>
    <m/>
    <m/>
    <m/>
    <m/>
    <m/>
    <m/>
    <m/>
    <n v="13"/>
    <x v="0"/>
    <m/>
    <m/>
    <m/>
    <m/>
    <m/>
    <n v="1311"/>
    <n v="2133"/>
    <m/>
    <m/>
    <m/>
    <n v="0.85"/>
    <m/>
    <m/>
    <m/>
    <m/>
    <m/>
    <m/>
    <m/>
    <m/>
    <m/>
    <s v="no test"/>
    <s v="no test"/>
    <x v="1"/>
    <n v="1"/>
    <n v="6936"/>
    <n v="0"/>
    <n v="0"/>
    <n v="1"/>
    <n v="6936"/>
    <n v="13.872"/>
    <n v="0"/>
    <n v="0"/>
    <n v="14"/>
    <n v="0.12800000000000011"/>
    <n v="0.84054209919261824"/>
    <n v="5830"/>
    <n v="650"/>
    <n v="347"/>
    <n v="19"/>
    <n v="0.15945790080738176"/>
    <n v="0.21036585365853658"/>
    <n v="0"/>
    <n v="6936"/>
    <n v="2133"/>
    <n v="6936"/>
    <n v="6936"/>
    <n v="1"/>
    <n v="0"/>
    <n v="0"/>
    <n v="1"/>
    <x v="0"/>
    <s v="Yes"/>
    <n v="0"/>
    <s v="Camp"/>
    <x v="0"/>
    <x v="0"/>
    <n v="20.181405999999999"/>
    <n v="92.807552000000001"/>
    <s v="MMR012CMP114"/>
    <x v="0"/>
    <n v="193"/>
    <n v="637"/>
    <n v="830"/>
    <m/>
  </r>
  <r>
    <x v="0"/>
    <x v="1"/>
    <x v="1"/>
    <m/>
    <x v="0"/>
    <x v="1"/>
    <x v="0"/>
    <x v="4"/>
    <n v="22"/>
    <n v="114"/>
    <m/>
    <m/>
    <n v="211"/>
    <m/>
    <m/>
    <s v=" -   "/>
    <m/>
    <m/>
    <m/>
    <m/>
    <m/>
    <m/>
    <m/>
    <m/>
    <m/>
    <m/>
    <m/>
    <m/>
    <m/>
    <n v="2"/>
    <m/>
    <m/>
    <m/>
    <m/>
    <m/>
    <m/>
    <m/>
    <m/>
    <m/>
    <m/>
    <m/>
    <m/>
    <n v="2"/>
    <x v="1"/>
    <m/>
    <m/>
    <m/>
    <m/>
    <m/>
    <n v="22"/>
    <n v="40"/>
    <m/>
    <m/>
    <m/>
    <n v="0.5"/>
    <m/>
    <m/>
    <m/>
    <m/>
    <m/>
    <m/>
    <m/>
    <m/>
    <m/>
    <s v="no test"/>
    <s v="no test"/>
    <x v="1"/>
    <n v="1"/>
    <n v="114"/>
    <n v="0"/>
    <n v="0"/>
    <n v="1"/>
    <n v="114"/>
    <n v="0.22800000000000001"/>
    <n v="0"/>
    <n v="0"/>
    <n v="1"/>
    <n v="0.77200000000000002"/>
    <n v="0.8771929824561403"/>
    <n v="100"/>
    <n v="100"/>
    <n v="6"/>
    <n v="6"/>
    <n v="0.1228070175438597"/>
    <s v="NA"/>
    <n v="0"/>
    <n v="114"/>
    <n v="40"/>
    <n v="114"/>
    <n v="114"/>
    <n v="1"/>
    <n v="0"/>
    <n v="0"/>
    <n v="1"/>
    <x v="0"/>
    <s v="Yes"/>
    <n v="0"/>
    <s v="Camp"/>
    <x v="1"/>
    <x v="0"/>
    <n v="20.182987000000001"/>
    <n v="92.804803000000007"/>
    <s v="MMR012CMP103"/>
    <x v="0"/>
    <n v="0"/>
    <n v="0"/>
    <n v="0"/>
    <m/>
  </r>
  <r>
    <x v="0"/>
    <x v="1"/>
    <x v="1"/>
    <s v="DFID/HARP"/>
    <x v="0"/>
    <x v="1"/>
    <x v="0"/>
    <x v="5"/>
    <n v="2009"/>
    <n v="11625"/>
    <m/>
    <d v="2020-09-30T00:00:00"/>
    <n v="232"/>
    <n v="49"/>
    <n v="175"/>
    <n v="0"/>
    <s v="No"/>
    <n v="10"/>
    <n v="7"/>
    <n v="66"/>
    <n v="83"/>
    <m/>
    <m/>
    <m/>
    <m/>
    <m/>
    <m/>
    <m/>
    <m/>
    <n v="0"/>
    <m/>
    <n v="399"/>
    <n v="498"/>
    <n v="112"/>
    <n v="0.96"/>
    <n v="375"/>
    <n v="0.98"/>
    <n v="0.91"/>
    <n v="0.7"/>
    <n v="0.7"/>
    <n v="4"/>
    <m/>
    <n v="2"/>
    <x v="0"/>
    <m/>
    <n v="87"/>
    <n v="538"/>
    <n v="659"/>
    <n v="547"/>
    <n v="2009"/>
    <n v="3699"/>
    <m/>
    <m/>
    <m/>
    <m/>
    <m/>
    <m/>
    <m/>
    <n v="1"/>
    <n v="0.62"/>
    <m/>
    <m/>
    <m/>
    <m/>
    <s v="no test"/>
    <s v="no test"/>
    <x v="1"/>
    <n v="1"/>
    <n v="11625"/>
    <n v="0"/>
    <n v="0"/>
    <n v="1"/>
    <n v="11625"/>
    <n v="23.25"/>
    <n v="0"/>
    <n v="0"/>
    <n v="23"/>
    <n v="0"/>
    <n v="0.70193548387096771"/>
    <n v="8160"/>
    <n v="100"/>
    <n v="581"/>
    <n v="83"/>
    <n v="0.29806451612903229"/>
    <n v="0.19879518072289157"/>
    <n v="1831"/>
    <n v="11625"/>
    <n v="3699"/>
    <n v="11625"/>
    <n v="11625"/>
    <n v="1"/>
    <n v="0"/>
    <n v="0.15750537634408601"/>
    <n v="1"/>
    <x v="0"/>
    <s v="Yes"/>
    <n v="0"/>
    <s v="Camp"/>
    <x v="0"/>
    <x v="0"/>
    <n v="20.16846"/>
    <n v="92.827427"/>
    <s v="MMR012CMP041"/>
    <x v="0"/>
    <n v="92"/>
    <n v="645"/>
    <n v="737"/>
    <m/>
  </r>
  <r>
    <x v="0"/>
    <x v="1"/>
    <x v="1"/>
    <s v="DFID/HARP"/>
    <x v="0"/>
    <x v="1"/>
    <x v="0"/>
    <x v="6"/>
    <n v="604"/>
    <n v="3360"/>
    <m/>
    <d v="2020-09-30T00:00:00"/>
    <m/>
    <m/>
    <m/>
    <s v=" -   "/>
    <m/>
    <m/>
    <m/>
    <n v="19"/>
    <n v="20"/>
    <m/>
    <m/>
    <n v="5"/>
    <n v="5"/>
    <m/>
    <m/>
    <m/>
    <m/>
    <m/>
    <m/>
    <m/>
    <m/>
    <m/>
    <m/>
    <m/>
    <m/>
    <m/>
    <m/>
    <m/>
    <m/>
    <m/>
    <m/>
    <x v="1"/>
    <m/>
    <n v="120"/>
    <n v="333"/>
    <n v="108"/>
    <n v="102"/>
    <n v="604"/>
    <n v="1170"/>
    <m/>
    <m/>
    <m/>
    <m/>
    <m/>
    <m/>
    <m/>
    <m/>
    <m/>
    <m/>
    <m/>
    <m/>
    <m/>
    <n v="1"/>
    <s v="no test"/>
    <x v="0"/>
    <n v="1"/>
    <n v="3360"/>
    <n v="0"/>
    <n v="0"/>
    <n v="1"/>
    <n v="3360"/>
    <n v="6.72"/>
    <n v="0"/>
    <n v="0"/>
    <n v="7"/>
    <n v="0.28000000000000025"/>
    <n v="0"/>
    <n v="0"/>
    <n v="0"/>
    <n v="168"/>
    <n v="168"/>
    <n v="1"/>
    <s v="NA"/>
    <n v="663"/>
    <n v="3360"/>
    <n v="1170"/>
    <n v="3360"/>
    <n v="3360"/>
    <n v="1"/>
    <n v="0"/>
    <n v="0.19732142857142856"/>
    <n v="1"/>
    <x v="1"/>
    <s v="Yes"/>
    <n v="0"/>
    <s v="Camp"/>
    <x v="1"/>
    <x v="0"/>
    <n v="20.167421999999998"/>
    <n v="92.830074999999994"/>
    <s v="MMR012CMP097"/>
    <x v="0"/>
    <n v="0"/>
    <n v="0"/>
    <n v="0"/>
    <m/>
  </r>
  <r>
    <x v="0"/>
    <x v="2"/>
    <x v="2"/>
    <s v="DFID/HARP"/>
    <x v="0"/>
    <x v="1"/>
    <x v="0"/>
    <x v="7"/>
    <n v="400"/>
    <n v="2248"/>
    <m/>
    <d v="2020-09-30T00:00:00"/>
    <n v="444"/>
    <n v="20"/>
    <n v="35"/>
    <n v="0"/>
    <s v="No"/>
    <n v="5"/>
    <n v="6"/>
    <n v="50"/>
    <n v="51"/>
    <m/>
    <m/>
    <n v="3"/>
    <n v="2"/>
    <n v="1"/>
    <n v="1"/>
    <m/>
    <m/>
    <n v="0"/>
    <m/>
    <n v="100"/>
    <n v="106"/>
    <n v="12"/>
    <n v="0.26"/>
    <n v="91"/>
    <n v="1"/>
    <n v="0.36"/>
    <n v="1"/>
    <n v="1"/>
    <m/>
    <m/>
    <n v="4"/>
    <x v="0"/>
    <m/>
    <n v="217"/>
    <n v="3095"/>
    <n v="0"/>
    <n v="535"/>
    <n v="400"/>
    <m/>
    <m/>
    <m/>
    <m/>
    <n v="0.5"/>
    <m/>
    <m/>
    <m/>
    <m/>
    <m/>
    <m/>
    <m/>
    <m/>
    <m/>
    <n v="0.66666666666666663"/>
    <n v="1"/>
    <x v="0"/>
    <n v="1"/>
    <n v="2248"/>
    <n v="0"/>
    <n v="0"/>
    <n v="1"/>
    <n v="2248"/>
    <n v="4.4960000000000004"/>
    <n v="0"/>
    <n v="0"/>
    <n v="4"/>
    <n v="0"/>
    <n v="0.97864768683274017"/>
    <n v="2200"/>
    <n v="200"/>
    <n v="112"/>
    <n v="6"/>
    <n v="2.1352313167259829E-2"/>
    <n v="5.6603773584905662E-2"/>
    <n v="2248"/>
    <n v="2248"/>
    <n v="0"/>
    <n v="2248"/>
    <n v="2248"/>
    <n v="1"/>
    <n v="0"/>
    <n v="1"/>
    <n v="1"/>
    <x v="0"/>
    <s v="Yes"/>
    <n v="0"/>
    <s v="Camp"/>
    <x v="0"/>
    <x v="0"/>
    <n v="20.181778000000001"/>
    <n v="92.823166999999998"/>
    <s v="MMR012CMP042"/>
    <x v="0"/>
    <n v="47"/>
    <n v="312"/>
    <n v="359"/>
    <m/>
  </r>
  <r>
    <x v="0"/>
    <x v="1"/>
    <x v="1"/>
    <s v="DFID/HARP"/>
    <x v="0"/>
    <x v="1"/>
    <x v="0"/>
    <x v="8"/>
    <n v="400"/>
    <n v="2186"/>
    <m/>
    <d v="2020-09-30T00:00:00"/>
    <n v="357"/>
    <n v="49"/>
    <n v="169"/>
    <n v="0"/>
    <s v="No"/>
    <n v="3"/>
    <n v="2"/>
    <n v="24"/>
    <n v="28"/>
    <m/>
    <m/>
    <m/>
    <m/>
    <m/>
    <m/>
    <m/>
    <m/>
    <n v="0"/>
    <m/>
    <n v="78"/>
    <n v="104"/>
    <n v="72"/>
    <n v="0.68"/>
    <n v="67"/>
    <n v="1"/>
    <n v="0.91"/>
    <n v="1"/>
    <n v="1"/>
    <m/>
    <m/>
    <n v="3"/>
    <x v="0"/>
    <m/>
    <n v="121"/>
    <n v="438"/>
    <n v="269"/>
    <n v="400"/>
    <n v="400"/>
    <n v="670"/>
    <m/>
    <m/>
    <m/>
    <n v="1"/>
    <m/>
    <m/>
    <m/>
    <n v="1"/>
    <n v="1"/>
    <m/>
    <m/>
    <m/>
    <m/>
    <s v="no test"/>
    <s v="no test"/>
    <x v="1"/>
    <n v="1"/>
    <n v="2186"/>
    <n v="0"/>
    <n v="0"/>
    <n v="1"/>
    <n v="2186"/>
    <n v="4.3719999999999999"/>
    <n v="0"/>
    <n v="0"/>
    <n v="4"/>
    <n v="0"/>
    <n v="0.78225068618481242"/>
    <n v="1710"/>
    <n v="150"/>
    <n v="109"/>
    <n v="5"/>
    <n v="0.21774931381518758"/>
    <n v="0.25"/>
    <n v="1228"/>
    <n v="2186"/>
    <n v="670"/>
    <n v="2186"/>
    <n v="2186"/>
    <n v="1"/>
    <n v="0"/>
    <n v="0.56175663311985358"/>
    <n v="1"/>
    <x v="0"/>
    <n v="0"/>
    <n v="0"/>
    <s v="Camp"/>
    <x v="0"/>
    <x v="0"/>
    <n v="20.180194"/>
    <n v="92.816638999999995"/>
    <s v="MMR012CMP042"/>
    <x v="0"/>
    <n v="68"/>
    <n v="265"/>
    <n v="333"/>
    <m/>
  </r>
  <r>
    <x v="0"/>
    <x v="3"/>
    <x v="3"/>
    <s v="UNICEF"/>
    <x v="0"/>
    <x v="2"/>
    <x v="0"/>
    <x v="9"/>
    <n v="356"/>
    <n v="979"/>
    <d v="2019-03-15T00:00:00"/>
    <d v="2020-03-14T00:00:00"/>
    <n v="244"/>
    <n v="6"/>
    <n v="23"/>
    <n v="0"/>
    <s v="No"/>
    <n v="24"/>
    <n v="5"/>
    <n v="10"/>
    <n v="22"/>
    <n v="0"/>
    <n v="0"/>
    <n v="18"/>
    <n v="9"/>
    <n v="3"/>
    <n v="1"/>
    <m/>
    <m/>
    <n v="1"/>
    <m/>
    <n v="94"/>
    <n v="94"/>
    <n v="25"/>
    <n v="0"/>
    <n v="3"/>
    <n v="1"/>
    <n v="1"/>
    <n v="1"/>
    <n v="1"/>
    <m/>
    <m/>
    <n v="10"/>
    <x v="0"/>
    <m/>
    <n v="557"/>
    <n v="511"/>
    <n v="0"/>
    <n v="0"/>
    <n v="356"/>
    <n v="360"/>
    <n v="0"/>
    <m/>
    <n v="0.8"/>
    <n v="0.95"/>
    <m/>
    <m/>
    <m/>
    <m/>
    <m/>
    <m/>
    <s v="Yes"/>
    <s v="Hand washing with soap activity, to get safe water from mixing with chlorine tablets, personal grooming and hygiene activities, good practice of waste management system"/>
    <s v="Camp Managemtnt Committee members, some Volunteers will maintain and repair WASH facilities."/>
    <n v="0.5"/>
    <n v="0.33333333333333331"/>
    <x v="0"/>
    <n v="1"/>
    <n v="979"/>
    <n v="0"/>
    <n v="0"/>
    <n v="1"/>
    <n v="979"/>
    <n v="1.958"/>
    <n v="0"/>
    <n v="0"/>
    <n v="2"/>
    <n v="4.2000000000000037E-2"/>
    <n v="1"/>
    <n v="979"/>
    <n v="244"/>
    <n v="49"/>
    <n v="0"/>
    <n v="0"/>
    <n v="0"/>
    <n v="979"/>
    <n v="979"/>
    <n v="360"/>
    <n v="979"/>
    <n v="979"/>
    <n v="1"/>
    <n v="0"/>
    <n v="1"/>
    <n v="1"/>
    <x v="0"/>
    <s v="Yes"/>
    <n v="0"/>
    <s v="Camp"/>
    <x v="0"/>
    <x v="0"/>
    <n v="19.424576999999999"/>
    <n v="93.512326000000002"/>
    <s v="MMR012CMP035"/>
    <x v="0"/>
    <n v="0"/>
    <n v="0"/>
    <n v="0"/>
    <m/>
  </r>
  <r>
    <x v="0"/>
    <x v="0"/>
    <x v="0"/>
    <s v="UNICEF"/>
    <x v="0"/>
    <x v="0"/>
    <x v="0"/>
    <x v="10"/>
    <n v="1320"/>
    <n v="6042"/>
    <d v="2018-12-01T00:00:00"/>
    <d v="2019-11-30T00:00:00"/>
    <n v="1412"/>
    <m/>
    <n v="121"/>
    <s v=" -   "/>
    <s v="Yes"/>
    <m/>
    <m/>
    <n v="3"/>
    <n v="3"/>
    <n v="693000"/>
    <n v="22567549"/>
    <m/>
    <m/>
    <m/>
    <m/>
    <m/>
    <m/>
    <m/>
    <m/>
    <n v="184"/>
    <n v="184"/>
    <n v="0"/>
    <m/>
    <m/>
    <m/>
    <m/>
    <m/>
    <m/>
    <n v="0"/>
    <m/>
    <n v="5"/>
    <x v="0"/>
    <m/>
    <n v="76"/>
    <n v="94"/>
    <n v="76"/>
    <n v="94"/>
    <n v="1327"/>
    <n v="3023"/>
    <m/>
    <m/>
    <m/>
    <m/>
    <m/>
    <m/>
    <m/>
    <m/>
    <m/>
    <n v="0.14000000000000001"/>
    <m/>
    <m/>
    <m/>
    <s v="no test"/>
    <s v="no test"/>
    <x v="1"/>
    <n v="0.33322299459340177"/>
    <n v="2013.3333333333335"/>
    <n v="1"/>
    <n v="6042"/>
    <n v="1"/>
    <n v="6042"/>
    <n v="12.084"/>
    <n v="0"/>
    <n v="0"/>
    <n v="12"/>
    <n v="0"/>
    <n v="0.6504468718967229"/>
    <n v="3930"/>
    <n v="250"/>
    <n v="302"/>
    <n v="118"/>
    <n v="0.3495531281032771"/>
    <n v="0"/>
    <n v="340"/>
    <n v="6042"/>
    <n v="3023"/>
    <n v="6042"/>
    <n v="6042"/>
    <n v="1"/>
    <n v="0"/>
    <n v="5.6272757365110893E-2"/>
    <n v="1"/>
    <x v="0"/>
    <s v="Yes"/>
    <n v="0"/>
    <s v="Camp"/>
    <x v="0"/>
    <x v="0"/>
    <n v="20.090183"/>
    <n v="93.010368999999997"/>
    <s v="MMR012CMP018"/>
    <x v="0"/>
    <n v="116"/>
    <n v="1129"/>
    <n v="1245"/>
    <m/>
  </r>
  <r>
    <x v="0"/>
    <x v="2"/>
    <x v="2"/>
    <s v="DFID/HARP"/>
    <x v="0"/>
    <x v="1"/>
    <x v="0"/>
    <x v="11"/>
    <n v="656"/>
    <n v="3486"/>
    <m/>
    <d v="2020-09-30T00:00:00"/>
    <n v="1142"/>
    <n v="49"/>
    <n v="115"/>
    <n v="0"/>
    <s v="No"/>
    <n v="8"/>
    <n v="7"/>
    <n v="30"/>
    <n v="36"/>
    <m/>
    <m/>
    <n v="2"/>
    <n v="2"/>
    <m/>
    <m/>
    <m/>
    <m/>
    <n v="1"/>
    <m/>
    <n v="179"/>
    <n v="241"/>
    <n v="81"/>
    <n v="0.28999999999999998"/>
    <n v="108"/>
    <n v="1"/>
    <n v="0.53"/>
    <n v="0.76"/>
    <n v="0.76"/>
    <m/>
    <m/>
    <n v="2"/>
    <x v="0"/>
    <m/>
    <n v="358"/>
    <n v="1571"/>
    <n v="437"/>
    <n v="1138"/>
    <n v="656"/>
    <m/>
    <m/>
    <m/>
    <m/>
    <n v="1"/>
    <m/>
    <m/>
    <m/>
    <m/>
    <m/>
    <m/>
    <m/>
    <m/>
    <m/>
    <n v="1"/>
    <s v="no test"/>
    <x v="0"/>
    <n v="1"/>
    <n v="3486"/>
    <n v="0"/>
    <n v="0"/>
    <n v="1"/>
    <n v="3486"/>
    <n v="6.9720000000000004"/>
    <n v="0"/>
    <n v="0"/>
    <n v="7"/>
    <n v="2.7999999999999581E-2"/>
    <n v="1"/>
    <n v="3486"/>
    <n v="100"/>
    <n v="174"/>
    <n v="0"/>
    <n v="0"/>
    <n v="0.25726141078838172"/>
    <n v="3486"/>
    <n v="3486"/>
    <n v="0"/>
    <n v="3486"/>
    <n v="3486"/>
    <n v="1"/>
    <n v="0"/>
    <n v="1"/>
    <n v="1"/>
    <x v="0"/>
    <s v="Yes"/>
    <n v="0"/>
    <s v="Camp"/>
    <x v="0"/>
    <x v="0"/>
    <n v="20.185917"/>
    <n v="92.831000000000003"/>
    <s v="MMR012CMP092"/>
    <x v="0"/>
    <n v="62"/>
    <n v="335"/>
    <n v="397"/>
    <m/>
  </r>
  <r>
    <x v="0"/>
    <x v="0"/>
    <x v="0"/>
    <s v="ECHO, OFDA, MHF"/>
    <x v="0"/>
    <x v="0"/>
    <x v="0"/>
    <x v="12"/>
    <n v="1010"/>
    <n v="4645"/>
    <s v="28/02/2018 and 28/02/2019, 01/07/2018, 01/10/2018"/>
    <s v="28/02/2019 and 28/02/2020, 30/06/2019, 30/09/2019"/>
    <n v="968"/>
    <m/>
    <m/>
    <s v=" -   "/>
    <s v="Yes"/>
    <n v="8"/>
    <n v="3"/>
    <m/>
    <m/>
    <m/>
    <n v="8586779"/>
    <n v="0"/>
    <m/>
    <n v="8"/>
    <n v="4"/>
    <n v="1010"/>
    <m/>
    <m/>
    <m/>
    <n v="86"/>
    <n v="89"/>
    <n v="3"/>
    <m/>
    <m/>
    <n v="0.37"/>
    <n v="0.23"/>
    <n v="0.37"/>
    <n v="0.23"/>
    <n v="5"/>
    <n v="54"/>
    <n v="4"/>
    <x v="0"/>
    <m/>
    <n v="80"/>
    <n v="80"/>
    <n v="80"/>
    <n v="80"/>
    <n v="1010"/>
    <n v="2354"/>
    <m/>
    <m/>
    <m/>
    <m/>
    <m/>
    <n v="0.6"/>
    <m/>
    <m/>
    <m/>
    <n v="0.21"/>
    <m/>
    <m/>
    <m/>
    <s v="no test"/>
    <n v="0.5"/>
    <x v="0"/>
    <n v="0"/>
    <n v="0"/>
    <n v="1"/>
    <n v="4645"/>
    <n v="1"/>
    <n v="4645"/>
    <n v="9.2899999999999991"/>
    <n v="0"/>
    <n v="0"/>
    <n v="9"/>
    <n v="0"/>
    <n v="0.44650161463939719"/>
    <n v="2074"/>
    <n v="200"/>
    <n v="232"/>
    <n v="143"/>
    <n v="0.55349838536060281"/>
    <n v="3.3707865168539325E-2"/>
    <n v="320"/>
    <n v="4645"/>
    <n v="2354"/>
    <n v="4645"/>
    <n v="4645"/>
    <n v="1"/>
    <n v="0"/>
    <n v="6.8891280947255107E-2"/>
    <n v="1"/>
    <x v="0"/>
    <s v="Yes"/>
    <n v="0"/>
    <s v="Camp"/>
    <x v="2"/>
    <x v="0"/>
    <n v="20.073437999999999"/>
    <n v="93.154551999999995"/>
    <s v="MMR012CMP017"/>
    <x v="0"/>
    <n v="194"/>
    <n v="735"/>
    <n v="929"/>
    <m/>
  </r>
  <r>
    <x v="0"/>
    <x v="0"/>
    <x v="0"/>
    <s v="ECHO, OFDA, MHF"/>
    <x v="0"/>
    <x v="0"/>
    <x v="0"/>
    <x v="13"/>
    <n v="905"/>
    <n v="4104"/>
    <s v="28/02/2018 and 28/02/2019, 01/07/2018, 01/10/2018"/>
    <s v="28/02/2019 and 28/02/2020, 30/06/2019, 30/09/2019"/>
    <n v="1261"/>
    <m/>
    <m/>
    <s v=" -   "/>
    <s v="Yes"/>
    <n v="11"/>
    <n v="2"/>
    <m/>
    <n v="5"/>
    <n v="283500"/>
    <n v="3385336"/>
    <n v="4"/>
    <n v="4"/>
    <n v="4"/>
    <m/>
    <m/>
    <m/>
    <m/>
    <m/>
    <n v="120"/>
    <n v="125"/>
    <n v="5"/>
    <m/>
    <m/>
    <n v="0.28000000000000003"/>
    <n v="0.69"/>
    <n v="0.28000000000000003"/>
    <n v="0.69"/>
    <n v="16"/>
    <n v="103"/>
    <n v="4"/>
    <x v="0"/>
    <m/>
    <n v="7"/>
    <n v="23"/>
    <n v="7"/>
    <n v="23"/>
    <n v="905"/>
    <n v="2067"/>
    <m/>
    <m/>
    <m/>
    <m/>
    <m/>
    <n v="0.97"/>
    <m/>
    <m/>
    <m/>
    <m/>
    <m/>
    <m/>
    <m/>
    <n v="1"/>
    <n v="0"/>
    <x v="0"/>
    <n v="5.1169590643274851E-2"/>
    <n v="210"/>
    <n v="0.61102736264529645"/>
    <n v="2507.6562962962967"/>
    <n v="0.66219695328857131"/>
    <n v="2717.6562962962967"/>
    <n v="5.4353125925925934"/>
    <n v="0.33780304671142869"/>
    <n v="1386.3437037037033"/>
    <n v="8"/>
    <n v="2.5646874074074066"/>
    <n v="0.73659844054580892"/>
    <n v="3023"/>
    <n v="200"/>
    <n v="205"/>
    <n v="80"/>
    <n v="0.26340155945419108"/>
    <n v="0.04"/>
    <n v="60"/>
    <n v="4104"/>
    <n v="2067"/>
    <n v="4104"/>
    <n v="4104"/>
    <n v="1"/>
    <n v="0"/>
    <n v="1.4619883040935672E-2"/>
    <n v="1"/>
    <x v="0"/>
    <s v="Yes"/>
    <n v="0"/>
    <s v="Camp"/>
    <x v="0"/>
    <x v="0"/>
    <n v="20.073437999999999"/>
    <n v="93.154551999999995"/>
    <s v="MMR012CMP017"/>
    <x v="0"/>
    <n v="112"/>
    <n v="643"/>
    <n v="755"/>
    <m/>
  </r>
  <r>
    <x v="0"/>
    <x v="4"/>
    <x v="4"/>
    <s v="UMCOR"/>
    <x v="0"/>
    <x v="3"/>
    <x v="0"/>
    <x v="14"/>
    <n v="91"/>
    <n v="581"/>
    <m/>
    <d v="2019-03-30T00:00:00"/>
    <m/>
    <m/>
    <m/>
    <m/>
    <m/>
    <m/>
    <m/>
    <m/>
    <m/>
    <m/>
    <m/>
    <m/>
    <m/>
    <m/>
    <m/>
    <m/>
    <m/>
    <m/>
    <m/>
    <n v="91"/>
    <n v="91"/>
    <m/>
    <m/>
    <m/>
    <m/>
    <m/>
    <m/>
    <m/>
    <m/>
    <m/>
    <m/>
    <x v="1"/>
    <m/>
    <m/>
    <m/>
    <m/>
    <m/>
    <m/>
    <m/>
    <m/>
    <m/>
    <m/>
    <m/>
    <m/>
    <m/>
    <m/>
    <m/>
    <m/>
    <m/>
    <m/>
    <m/>
    <m/>
    <s v="no test"/>
    <s v="no test"/>
    <x v="1"/>
    <n v="1"/>
    <n v="581"/>
    <n v="0"/>
    <n v="0"/>
    <n v="1"/>
    <n v="581"/>
    <n v="1.1619999999999999"/>
    <n v="0"/>
    <n v="0"/>
    <n v="1"/>
    <n v="0"/>
    <n v="1"/>
    <n v="581"/>
    <n v="0"/>
    <n v="29"/>
    <n v="0"/>
    <n v="0"/>
    <n v="0"/>
    <n v="0"/>
    <n v="0"/>
    <n v="0"/>
    <n v="0"/>
    <n v="0"/>
    <n v="0"/>
    <n v="1"/>
    <n v="0"/>
    <n v="0"/>
    <x v="1"/>
    <s v="Yes"/>
    <n v="0"/>
    <s v="Camp"/>
    <x v="3"/>
    <x v="0"/>
    <n v="20.865687000000001"/>
    <n v="92.965980999999999"/>
    <s v="MMR012CMP023"/>
    <x v="0"/>
    <n v="0"/>
    <n v="0"/>
    <n v="0"/>
    <m/>
  </r>
  <r>
    <x v="0"/>
    <x v="2"/>
    <x v="2"/>
    <s v="DFID/HARP"/>
    <x v="0"/>
    <x v="1"/>
    <x v="0"/>
    <x v="15"/>
    <n v="673"/>
    <n v="3095"/>
    <m/>
    <d v="2020-09-30T00:00:00"/>
    <n v="681"/>
    <n v="20"/>
    <n v="35"/>
    <n v="0"/>
    <s v="No"/>
    <n v="7"/>
    <n v="7"/>
    <n v="54"/>
    <n v="68"/>
    <m/>
    <m/>
    <n v="111"/>
    <n v="98"/>
    <n v="150"/>
    <n v="77"/>
    <m/>
    <m/>
    <n v="3"/>
    <m/>
    <n v="170"/>
    <n v="175"/>
    <n v="16"/>
    <n v="0.03"/>
    <n v="138"/>
    <n v="1"/>
    <n v="0.86"/>
    <n v="0.2"/>
    <n v="0.2"/>
    <m/>
    <m/>
    <n v="0"/>
    <x v="0"/>
    <m/>
    <n v="742"/>
    <n v="1684"/>
    <n v="0"/>
    <n v="430"/>
    <n v="779"/>
    <m/>
    <m/>
    <m/>
    <m/>
    <n v="0"/>
    <m/>
    <m/>
    <m/>
    <m/>
    <m/>
    <m/>
    <m/>
    <m/>
    <m/>
    <n v="0.88288288288288286"/>
    <n v="0.51333333333333331"/>
    <x v="0"/>
    <n v="1"/>
    <n v="3095"/>
    <n v="0"/>
    <n v="0"/>
    <n v="1"/>
    <n v="3095"/>
    <n v="6.19"/>
    <n v="0"/>
    <n v="0"/>
    <n v="6"/>
    <n v="0"/>
    <n v="1"/>
    <n v="3095"/>
    <n v="0"/>
    <n v="155"/>
    <n v="0"/>
    <n v="0"/>
    <n v="2.8571428571428571E-2"/>
    <n v="2856"/>
    <n v="3095"/>
    <n v="0"/>
    <n v="3095"/>
    <n v="3095"/>
    <n v="1"/>
    <n v="0"/>
    <n v="0.92277867528271407"/>
    <n v="1"/>
    <x v="0"/>
    <s v="Yes"/>
    <n v="0"/>
    <s v="Camp"/>
    <x v="0"/>
    <x v="0"/>
    <n v="20.206778"/>
    <n v="92.774193999999994"/>
    <s v="MMR012CMP098"/>
    <x v="0"/>
    <n v="12"/>
    <n v="359"/>
    <n v="371"/>
    <m/>
  </r>
  <r>
    <x v="0"/>
    <x v="2"/>
    <x v="2"/>
    <s v="DFID/HARP"/>
    <x v="0"/>
    <x v="1"/>
    <x v="0"/>
    <x v="16"/>
    <n v="2428"/>
    <n v="13302"/>
    <m/>
    <d v="2020-09-30T00:00:00"/>
    <n v="500"/>
    <n v="100"/>
    <n v="230"/>
    <n v="0"/>
    <s v="No"/>
    <n v="26"/>
    <n v="37"/>
    <n v="120"/>
    <n v="146"/>
    <m/>
    <m/>
    <n v="177"/>
    <n v="161"/>
    <n v="242"/>
    <n v="151"/>
    <m/>
    <m/>
    <m/>
    <m/>
    <n v="436"/>
    <n v="778"/>
    <n v="50"/>
    <n v="0.12"/>
    <n v="485"/>
    <n v="0.91"/>
    <n v="0.03"/>
    <n v="0.06"/>
    <n v="0.06"/>
    <m/>
    <m/>
    <n v="3"/>
    <x v="0"/>
    <m/>
    <n v="886"/>
    <n v="8330"/>
    <n v="1096"/>
    <n v="2441"/>
    <n v="2728"/>
    <m/>
    <m/>
    <m/>
    <m/>
    <n v="1"/>
    <m/>
    <m/>
    <m/>
    <m/>
    <m/>
    <m/>
    <m/>
    <m/>
    <m/>
    <n v="0.90960451977401124"/>
    <n v="0.62396694214876036"/>
    <x v="0"/>
    <n v="1"/>
    <n v="13302"/>
    <n v="0"/>
    <n v="0"/>
    <n v="1"/>
    <n v="13302"/>
    <n v="26.603999999999999"/>
    <n v="0"/>
    <n v="0"/>
    <n v="27"/>
    <n v="0.3960000000000008"/>
    <n v="0.66681701999699294"/>
    <n v="8870"/>
    <n v="150"/>
    <n v="665"/>
    <n v="0"/>
    <n v="0.33318298000300706"/>
    <n v="0.43958868894601544"/>
    <n v="12753"/>
    <n v="13302"/>
    <n v="0"/>
    <n v="13302"/>
    <n v="13302"/>
    <n v="1"/>
    <n v="0"/>
    <n v="0.95872801082543979"/>
    <n v="1"/>
    <x v="0"/>
    <s v="Yes"/>
    <n v="0"/>
    <s v="Camp"/>
    <x v="0"/>
    <x v="0"/>
    <n v="20.18994"/>
    <n v="92.798880999999994"/>
    <s v="MMR012CMP115"/>
    <x v="0"/>
    <n v="214"/>
    <n v="1333"/>
    <n v="1547"/>
    <m/>
  </r>
  <r>
    <x v="0"/>
    <x v="5"/>
    <x v="5"/>
    <s v="MHF,EU"/>
    <x v="0"/>
    <x v="1"/>
    <x v="0"/>
    <x v="17"/>
    <n v="2260"/>
    <n v="11487"/>
    <s v="1-March-2019_x000a_1-March-2019"/>
    <s v="31-July-2019_x000a_31-Oct-2019"/>
    <n v="549"/>
    <n v="9"/>
    <n v="126"/>
    <n v="2"/>
    <s v="Yes"/>
    <n v="78"/>
    <n v="57"/>
    <n v="290"/>
    <n v="324"/>
    <m/>
    <m/>
    <n v="511"/>
    <n v="246"/>
    <n v="89"/>
    <n v="15"/>
    <m/>
    <n v="43"/>
    <n v="0"/>
    <s v="According to the water analysis, _x000a_the contamination of (16%)water source is higher than household level(14%)"/>
    <n v="299"/>
    <n v="523"/>
    <m/>
    <n v="0.5"/>
    <n v="640"/>
    <n v="1"/>
    <n v="0.98"/>
    <n v="0.96"/>
    <n v="0.82"/>
    <n v="32"/>
    <n v="46"/>
    <n v="3"/>
    <x v="0"/>
    <s v="According to the report, 50% of open defecation occurred and emptied of the pits are less than demands. Two of delduging activities were delayed due to the landowner issues faced by partner._x000a_"/>
    <n v="969"/>
    <n v="1216"/>
    <n v="701"/>
    <n v="912"/>
    <n v="4520"/>
    <n v="3427"/>
    <n v="0.46"/>
    <n v="0.99"/>
    <n v="0.82"/>
    <n v="0.67"/>
    <m/>
    <n v="0.95"/>
    <n v="0.93"/>
    <n v="73"/>
    <n v="0.65"/>
    <n v="0.03"/>
    <s v="No"/>
    <s v="Operation and maintenance"/>
    <s v="DRC,CMCs"/>
    <n v="0.48140900195694714"/>
    <n v="0.16853932584269662"/>
    <x v="0"/>
    <n v="1"/>
    <n v="11487"/>
    <n v="0"/>
    <n v="0"/>
    <n v="1"/>
    <n v="11487"/>
    <n v="22.974"/>
    <n v="0"/>
    <n v="0"/>
    <n v="23"/>
    <n v="2.5999999999999801E-2"/>
    <n v="0.5933664142073648"/>
    <n v="6816"/>
    <n v="150"/>
    <n v="574"/>
    <n v="51"/>
    <n v="0.4066335857926352"/>
    <n v="0.42829827915869984"/>
    <n v="3798"/>
    <n v="11487"/>
    <n v="3427"/>
    <n v="11487"/>
    <n v="11487"/>
    <n v="1"/>
    <n v="0"/>
    <n v="0.33063463045181507"/>
    <n v="1"/>
    <x v="0"/>
    <s v="Yes"/>
    <n v="0"/>
    <s v="Camp"/>
    <x v="0"/>
    <x v="0"/>
    <n v="20.185092000000001"/>
    <n v="92.802295999999998"/>
    <s v="MMR012CMP116"/>
    <x v="0"/>
    <n v="218"/>
    <n v="1169"/>
    <n v="1387"/>
    <m/>
  </r>
  <r>
    <x v="0"/>
    <x v="5"/>
    <x v="5"/>
    <s v="MHF,EU"/>
    <x v="0"/>
    <x v="1"/>
    <x v="0"/>
    <x v="18"/>
    <n v="400"/>
    <n v="2285"/>
    <s v="1-March-2019_x000a_1-March-2019"/>
    <s v="31-July-2019_x000a_31-Oct-2019"/>
    <n v="46"/>
    <n v="7"/>
    <n v="34"/>
    <n v="2"/>
    <s v="No"/>
    <n v="25"/>
    <n v="19"/>
    <n v="56"/>
    <n v="58"/>
    <m/>
    <m/>
    <n v="173"/>
    <n v="95"/>
    <n v="127"/>
    <n v="49"/>
    <m/>
    <n v="28"/>
    <m/>
    <s v="According to the water analysis, _x000a_the contamination of (16%)water source is less than household level(33%)"/>
    <n v="124"/>
    <n v="124"/>
    <n v="82"/>
    <n v="0.28000000000000003"/>
    <n v="665.6"/>
    <n v="0.8"/>
    <n v="0.96"/>
    <n v="1"/>
    <n v="0.82"/>
    <n v="0"/>
    <n v="10"/>
    <n v="3"/>
    <x v="0"/>
    <s v="According to the report, assuming that emptied of the pits are met demands._x000a_"/>
    <n v="127"/>
    <n v="293"/>
    <n v="130"/>
    <n v="170"/>
    <n v="800"/>
    <n v="423"/>
    <n v="0.47"/>
    <n v="0.98"/>
    <n v="0.98"/>
    <m/>
    <m/>
    <n v="0.93"/>
    <n v="0.95"/>
    <n v="86"/>
    <n v="0.51"/>
    <n v="0.02"/>
    <s v="No"/>
    <s v="Operation and maintenance"/>
    <s v="DRC,CMCs"/>
    <n v="0.54913294797687862"/>
    <n v="0.38582677165354329"/>
    <x v="0"/>
    <n v="1"/>
    <n v="2285"/>
    <n v="0"/>
    <n v="0"/>
    <n v="1"/>
    <n v="2285"/>
    <n v="4.57"/>
    <n v="0"/>
    <n v="0"/>
    <n v="5"/>
    <n v="0.42999999999999972"/>
    <n v="1"/>
    <n v="2285"/>
    <n v="46"/>
    <n v="114"/>
    <n v="0"/>
    <n v="0"/>
    <n v="0"/>
    <n v="720"/>
    <n v="2285"/>
    <n v="423"/>
    <n v="2285"/>
    <n v="2285"/>
    <n v="1"/>
    <n v="0"/>
    <n v="0.31509846827133481"/>
    <n v="1"/>
    <x v="0"/>
    <n v="0"/>
    <n v="0"/>
    <s v="Camp"/>
    <x v="0"/>
    <x v="0"/>
    <n v="20.207284999999999"/>
    <n v="92.788177000000005"/>
    <s v="MMR012CMP045"/>
    <x v="0"/>
    <n v="0"/>
    <n v="0"/>
    <n v="0"/>
    <m/>
  </r>
  <r>
    <x v="0"/>
    <x v="2"/>
    <x v="2"/>
    <s v="DFID/HARP"/>
    <x v="0"/>
    <x v="1"/>
    <x v="0"/>
    <x v="19"/>
    <n v="2280"/>
    <n v="11564"/>
    <m/>
    <d v="2020-09-30T00:00:00"/>
    <n v="1444"/>
    <n v="49"/>
    <n v="115"/>
    <n v="0"/>
    <s v="No"/>
    <n v="43"/>
    <n v="29"/>
    <n v="156"/>
    <n v="185"/>
    <m/>
    <m/>
    <m/>
    <m/>
    <m/>
    <m/>
    <m/>
    <m/>
    <n v="13"/>
    <m/>
    <n v="469"/>
    <n v="520"/>
    <n v="76"/>
    <n v="0.39"/>
    <n v="304"/>
    <n v="1"/>
    <n v="0.73"/>
    <n v="0"/>
    <n v="0"/>
    <m/>
    <m/>
    <n v="53"/>
    <x v="0"/>
    <m/>
    <n v="618"/>
    <n v="8179"/>
    <n v="838"/>
    <n v="2947"/>
    <n v="2280"/>
    <m/>
    <m/>
    <m/>
    <m/>
    <n v="1"/>
    <m/>
    <m/>
    <m/>
    <m/>
    <m/>
    <m/>
    <m/>
    <m/>
    <m/>
    <s v="no test"/>
    <s v="no test"/>
    <x v="1"/>
    <n v="1"/>
    <n v="11564"/>
    <n v="0"/>
    <n v="0"/>
    <n v="1"/>
    <n v="11564"/>
    <n v="23.128"/>
    <n v="0"/>
    <n v="0"/>
    <n v="23"/>
    <n v="0"/>
    <n v="1"/>
    <n v="11564"/>
    <n v="1444"/>
    <n v="578"/>
    <n v="58"/>
    <n v="0"/>
    <n v="9.8076923076923075E-2"/>
    <n v="11564"/>
    <n v="11564"/>
    <n v="0"/>
    <n v="11564"/>
    <n v="11564"/>
    <n v="1"/>
    <n v="0"/>
    <n v="1"/>
    <n v="1"/>
    <x v="0"/>
    <s v="Yes"/>
    <n v="0"/>
    <s v="Camp"/>
    <x v="0"/>
    <x v="0"/>
    <n v="20.202525000000001"/>
    <n v="92.792479999999998"/>
    <s v="MMR012CMP045"/>
    <x v="0"/>
    <n v="116"/>
    <n v="1099"/>
    <n v="1215"/>
    <m/>
  </r>
  <r>
    <x v="0"/>
    <x v="6"/>
    <x v="6"/>
    <s v="OFDA"/>
    <x v="0"/>
    <x v="0"/>
    <x v="0"/>
    <x v="20"/>
    <n v="744"/>
    <n v="2805"/>
    <d v="2019-04-01T00:00:00"/>
    <d v="2020-03-31T00:00:00"/>
    <n v="209"/>
    <n v="2"/>
    <n v="15"/>
    <n v="0"/>
    <s v="Yes"/>
    <n v="13"/>
    <n v="5"/>
    <n v="23"/>
    <n v="24"/>
    <n v="3703500"/>
    <m/>
    <n v="0"/>
    <m/>
    <n v="79"/>
    <n v="64"/>
    <m/>
    <n v="3"/>
    <n v="2"/>
    <s v="in this days there is no using water point execting there but distribution from water point."/>
    <n v="356"/>
    <n v="358"/>
    <n v="32"/>
    <m/>
    <n v="50"/>
    <m/>
    <m/>
    <m/>
    <m/>
    <m/>
    <m/>
    <n v="3"/>
    <x v="0"/>
    <m/>
    <n v="1223"/>
    <n v="2464"/>
    <n v="1014"/>
    <n v="1120"/>
    <n v="744"/>
    <n v="588"/>
    <m/>
    <m/>
    <m/>
    <n v="1"/>
    <m/>
    <m/>
    <m/>
    <m/>
    <m/>
    <m/>
    <m/>
    <m/>
    <m/>
    <s v="no test"/>
    <n v="0.810126582278481"/>
    <x v="0"/>
    <n v="1"/>
    <n v="2805"/>
    <n v="0"/>
    <n v="0"/>
    <n v="1"/>
    <n v="2805"/>
    <n v="5.61"/>
    <n v="0"/>
    <n v="0"/>
    <n v="6"/>
    <n v="0.38999999999999968"/>
    <n v="1"/>
    <n v="2805"/>
    <n v="150"/>
    <n v="140"/>
    <n v="0"/>
    <n v="0"/>
    <n v="5.5865921787709499E-3"/>
    <n v="2805"/>
    <n v="2805"/>
    <n v="588"/>
    <n v="2805"/>
    <n v="2805"/>
    <n v="1"/>
    <n v="0"/>
    <n v="1"/>
    <n v="1"/>
    <x v="0"/>
    <s v="Yes"/>
    <n v="0"/>
    <s v="Camp"/>
    <x v="0"/>
    <x v="0"/>
    <n v="20.064226000000001"/>
    <n v="92.993758999999997"/>
    <s v="MMR012CMP019"/>
    <x v="0"/>
    <n v="125"/>
    <n v="401"/>
    <n v="526"/>
    <m/>
  </r>
  <r>
    <x v="0"/>
    <x v="7"/>
    <x v="7"/>
    <s v="UNICEF"/>
    <x v="0"/>
    <x v="4"/>
    <x v="0"/>
    <x v="21"/>
    <n v="716"/>
    <n v="2920"/>
    <d v="2019-03-06T00:00:00"/>
    <d v="2020-03-06T00:00:00"/>
    <n v="920"/>
    <n v="14"/>
    <n v="20"/>
    <s v=" -   "/>
    <s v="Yes"/>
    <n v="9"/>
    <n v="9"/>
    <n v="5"/>
    <n v="6"/>
    <n v="5505156"/>
    <n v="8670000"/>
    <n v="23"/>
    <n v="21"/>
    <n v="24"/>
    <n v="24"/>
    <n v="716"/>
    <m/>
    <n v="5"/>
    <m/>
    <n v="197"/>
    <n v="197"/>
    <n v="62"/>
    <m/>
    <n v="267"/>
    <m/>
    <m/>
    <m/>
    <m/>
    <n v="31"/>
    <n v="114"/>
    <n v="6"/>
    <x v="0"/>
    <m/>
    <n v="248"/>
    <n v="952"/>
    <n v="301"/>
    <n v="641"/>
    <n v="716"/>
    <n v="716"/>
    <n v="0.86"/>
    <n v="0.94"/>
    <n v="0.75"/>
    <n v="0.2"/>
    <m/>
    <n v="0.95"/>
    <n v="0.77"/>
    <n v="287"/>
    <n v="1"/>
    <m/>
    <s v="No"/>
    <s v="Their main concern is that INGO/NGO would leave from their camp and they would have no more access to humanitarian live-saving aids after camp closure."/>
    <s v="WASH committee and sub-group of skilled workers. They however still need capacities to manage WASH services and facilities."/>
    <n v="0.91304347826086951"/>
    <n v="1"/>
    <x v="0"/>
    <n v="1"/>
    <n v="2920"/>
    <n v="1"/>
    <n v="2920"/>
    <n v="1"/>
    <n v="2920"/>
    <n v="5.84"/>
    <n v="0"/>
    <n v="0"/>
    <n v="6"/>
    <n v="0.16000000000000014"/>
    <n v="1"/>
    <n v="2920"/>
    <n v="300"/>
    <n v="146"/>
    <n v="0"/>
    <n v="0"/>
    <n v="0"/>
    <n v="2142"/>
    <n v="2920"/>
    <n v="716"/>
    <n v="2920"/>
    <n v="2920"/>
    <n v="1"/>
    <n v="0"/>
    <n v="0.73356164383561639"/>
    <n v="1"/>
    <x v="0"/>
    <s v="Yes"/>
    <n v="0"/>
    <s v="Camp"/>
    <x v="0"/>
    <x v="0"/>
    <n v="20.037655000000001"/>
    <n v="93.370037999999994"/>
    <s v="MMR012CMP014"/>
    <x v="0"/>
    <n v="54"/>
    <n v="319"/>
    <n v="373"/>
    <m/>
  </r>
  <r>
    <x v="0"/>
    <x v="1"/>
    <x v="1"/>
    <s v="DFID/HARP"/>
    <x v="0"/>
    <x v="1"/>
    <x v="0"/>
    <x v="22"/>
    <n v="1139"/>
    <n v="6016"/>
    <m/>
    <d v="2020-09-30T00:00:00"/>
    <n v="1094"/>
    <n v="49"/>
    <n v="175"/>
    <n v="0"/>
    <s v="No"/>
    <n v="9"/>
    <n v="7"/>
    <n v="36"/>
    <n v="45"/>
    <m/>
    <m/>
    <m/>
    <m/>
    <m/>
    <m/>
    <m/>
    <m/>
    <m/>
    <m/>
    <n v="201"/>
    <n v="243"/>
    <n v="17"/>
    <n v="0.86"/>
    <n v="230"/>
    <n v="1"/>
    <n v="0.97"/>
    <n v="0.45"/>
    <n v="0.45"/>
    <m/>
    <m/>
    <m/>
    <x v="0"/>
    <m/>
    <n v="115"/>
    <n v="414"/>
    <n v="321"/>
    <n v="332"/>
    <n v="1139"/>
    <n v="1745"/>
    <m/>
    <m/>
    <m/>
    <m/>
    <m/>
    <m/>
    <m/>
    <n v="97"/>
    <n v="0.57999999999999996"/>
    <m/>
    <m/>
    <m/>
    <m/>
    <s v="no test"/>
    <s v="no test"/>
    <x v="1"/>
    <n v="1"/>
    <n v="6016"/>
    <n v="0"/>
    <n v="0"/>
    <n v="1"/>
    <n v="6016"/>
    <n v="12.032"/>
    <n v="0"/>
    <n v="0"/>
    <n v="12"/>
    <n v="0"/>
    <n v="0.66821808510638303"/>
    <n v="4020"/>
    <n v="0"/>
    <n v="301"/>
    <n v="58"/>
    <n v="0.33178191489361697"/>
    <n v="0.1728395061728395"/>
    <n v="1182"/>
    <n v="6016"/>
    <n v="1745"/>
    <n v="6016"/>
    <n v="6016"/>
    <n v="1"/>
    <n v="0"/>
    <n v="0.19647606382978725"/>
    <n v="1"/>
    <x v="0"/>
    <s v="Yes"/>
    <n v="0"/>
    <s v="Camp"/>
    <x v="3"/>
    <x v="0"/>
    <n v="20.1585"/>
    <n v="92.839416999999997"/>
    <s v="MMR012CMP046"/>
    <x v="0"/>
    <n v="283"/>
    <n v="715"/>
    <n v="998"/>
    <m/>
  </r>
  <r>
    <x v="0"/>
    <x v="2"/>
    <x v="2"/>
    <s v="DFID/HARP"/>
    <x v="0"/>
    <x v="1"/>
    <x v="0"/>
    <x v="23"/>
    <n v="1013"/>
    <n v="5950"/>
    <m/>
    <d v="2020-09-30T00:00:00"/>
    <n v="1558"/>
    <n v="49"/>
    <n v="115"/>
    <n v="0"/>
    <s v="No"/>
    <n v="9"/>
    <n v="10"/>
    <n v="53"/>
    <n v="67"/>
    <m/>
    <m/>
    <m/>
    <m/>
    <m/>
    <m/>
    <m/>
    <m/>
    <n v="6"/>
    <m/>
    <n v="210"/>
    <n v="360"/>
    <n v="13"/>
    <n v="0.17"/>
    <n v="253"/>
    <n v="0.93"/>
    <n v="0.04"/>
    <n v="0.74"/>
    <n v="0.74"/>
    <n v="4"/>
    <m/>
    <n v="15"/>
    <x v="0"/>
    <m/>
    <n v="472"/>
    <n v="1850"/>
    <n v="570"/>
    <n v="1367"/>
    <n v="1013"/>
    <m/>
    <m/>
    <m/>
    <m/>
    <n v="0.53"/>
    <m/>
    <m/>
    <m/>
    <m/>
    <m/>
    <m/>
    <m/>
    <m/>
    <m/>
    <s v="no test"/>
    <s v="no test"/>
    <x v="1"/>
    <n v="1"/>
    <n v="5950"/>
    <n v="0"/>
    <n v="0"/>
    <n v="1"/>
    <n v="5950"/>
    <n v="11.9"/>
    <n v="0"/>
    <n v="0"/>
    <n v="12"/>
    <n v="9.9999999999999645E-2"/>
    <n v="0.8453781512605042"/>
    <n v="5030"/>
    <n v="750"/>
    <n v="298"/>
    <n v="0"/>
    <n v="0.1546218487394958"/>
    <n v="0.41666666666666669"/>
    <n v="4259"/>
    <n v="5950"/>
    <n v="0"/>
    <n v="5950"/>
    <n v="5950"/>
    <n v="1"/>
    <n v="0"/>
    <n v="0.71579831932773108"/>
    <n v="1"/>
    <x v="0"/>
    <s v="Yes"/>
    <n v="0"/>
    <s v="Camp"/>
    <x v="0"/>
    <x v="0"/>
    <n v="20.179939999999998"/>
    <n v="92.831879000000001"/>
    <s v="MMR012CMP048"/>
    <x v="0"/>
    <n v="111"/>
    <n v="853"/>
    <n v="964"/>
    <m/>
  </r>
  <r>
    <x v="0"/>
    <x v="2"/>
    <x v="2"/>
    <s v="DFID/HARP"/>
    <x v="0"/>
    <x v="1"/>
    <x v="0"/>
    <x v="24"/>
    <n v="299"/>
    <n v="1670"/>
    <m/>
    <d v="2020-09-30T00:00:00"/>
    <n v="870"/>
    <m/>
    <m/>
    <s v=" -   "/>
    <m/>
    <n v="2"/>
    <n v="7"/>
    <m/>
    <m/>
    <m/>
    <m/>
    <n v="24"/>
    <n v="22"/>
    <n v="11"/>
    <n v="8"/>
    <m/>
    <m/>
    <n v="6"/>
    <m/>
    <m/>
    <m/>
    <m/>
    <m/>
    <m/>
    <m/>
    <m/>
    <m/>
    <m/>
    <m/>
    <m/>
    <n v="16"/>
    <x v="1"/>
    <m/>
    <n v="51"/>
    <n v="674"/>
    <n v="864"/>
    <n v="1200"/>
    <n v="299"/>
    <m/>
    <m/>
    <m/>
    <m/>
    <n v="0.5"/>
    <m/>
    <m/>
    <m/>
    <m/>
    <m/>
    <m/>
    <m/>
    <m/>
    <m/>
    <n v="0.91666666666666663"/>
    <n v="0.72727272727272729"/>
    <x v="0"/>
    <n v="1"/>
    <n v="1670"/>
    <n v="0"/>
    <n v="0"/>
    <n v="1"/>
    <n v="1670"/>
    <n v="3.34"/>
    <n v="0"/>
    <n v="0"/>
    <n v="3"/>
    <n v="0"/>
    <n v="0.47904191616766467"/>
    <n v="800"/>
    <n v="800"/>
    <n v="84"/>
    <n v="84"/>
    <n v="0.52095808383233533"/>
    <s v="NA"/>
    <n v="1670"/>
    <n v="1670"/>
    <n v="0"/>
    <n v="1670"/>
    <n v="1670"/>
    <n v="1"/>
    <n v="0"/>
    <n v="1"/>
    <n v="1"/>
    <x v="0"/>
    <s v="Yes"/>
    <n v="0"/>
    <s v="Camp"/>
    <x v="1"/>
    <x v="0"/>
    <n v="20.181742"/>
    <n v="92.842230000000001"/>
    <s v="MMR012CMP091"/>
    <x v="0"/>
    <n v="0"/>
    <n v="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3BFB650-FD09-4A47-AF0C-14B2320699E5}"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C10" firstHeaderRow="0" firstDataRow="1" firstDataCol="1" rowPageCount="2" colPageCount="1"/>
  <pivotFields count="114">
    <pivotField showAll="0"/>
    <pivotField showAll="0"/>
    <pivotField showAll="0"/>
    <pivotField showAll="0"/>
    <pivotField axis="axisPage" multipleItemSelectionAllowed="1" showAll="0">
      <items count="7">
        <item x="0"/>
        <item h="1" m="1" x="3"/>
        <item m="1" x="5"/>
        <item m="1" x="4"/>
        <item h="1" m="1" x="2"/>
        <item m="1" x="1"/>
        <item t="default"/>
      </items>
    </pivotField>
    <pivotField axis="axisRow" showAll="0">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axis="axisPage" showAll="0">
      <items count="11">
        <item x="0"/>
        <item m="1" x="7"/>
        <item m="1" x="6"/>
        <item m="1" x="4"/>
        <item m="1" x="2"/>
        <item m="1" x="1"/>
        <item m="1" x="8"/>
        <item m="1" x="5"/>
        <item m="1" x="9"/>
        <item m="1" x="3"/>
        <item t="default"/>
      </items>
    </pivotField>
    <pivotField dataField="1" showAll="0"/>
    <pivotField numFmtId="164" showAll="0"/>
    <pivotField dataField="1"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1" showAll="0"/>
    <pivotField numFmtId="9" showAll="0"/>
    <pivotField numFmtId="1" showAll="0"/>
    <pivotField numFmtId="9" showAll="0"/>
    <pivotField numFmtId="1" showAll="0"/>
    <pivotField numFmtId="1" showAll="0"/>
    <pivotField numFmtId="9" showAll="0"/>
    <pivotField numFmtId="1" showAll="0"/>
    <pivotField numFmtId="1" showAll="0"/>
    <pivotField numFmtId="1" showAll="0"/>
    <pivotField numFmtId="9" showAll="0"/>
    <pivotField numFmtId="1" showAll="0"/>
    <pivotField showAll="0"/>
    <pivotField numFmtId="1" showAll="0"/>
    <pivotField numFmtId="1" showAll="0"/>
    <pivotField numFmtId="9" showAll="0"/>
    <pivotField numFmtId="9" showAll="0"/>
    <pivotField numFmtId="1" showAll="0"/>
    <pivotField numFmtId="1" showAll="0"/>
    <pivotField numFmtId="1" showAll="0"/>
    <pivotField numFmtId="1" showAll="0"/>
    <pivotField numFmtId="1"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6">
    <i>
      <x v="9"/>
    </i>
    <i>
      <x v="10"/>
    </i>
    <i>
      <x v="23"/>
    </i>
    <i>
      <x v="30"/>
    </i>
    <i>
      <x v="36"/>
    </i>
    <i t="grand">
      <x/>
    </i>
  </rowItems>
  <colFields count="1">
    <field x="-2"/>
  </colFields>
  <colItems count="2">
    <i>
      <x/>
    </i>
    <i i="1">
      <x v="1"/>
    </i>
  </colItems>
  <pageFields count="2">
    <pageField fld="4" hier="-1"/>
    <pageField fld="6" item="0" hier="-1"/>
  </pageFields>
  <dataFields count="2">
    <dataField name="Count of Site Name" fld="7" subtotal="count" baseField="0" baseItem="0"/>
    <dataField name="Sum of Total PoP "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2813B09-63F0-41D4-AAF4-B06908E34287}" name="PivotTable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229:D230" firstHeaderRow="0" firstDataRow="1" firstDataCol="0" rowPageCount="2" colPageCount="1"/>
  <pivotFields count="114">
    <pivotField axis="axisPage" subtotalTop="0" multipleItemSelectionAllowed="1" showAll="0">
      <items count="13">
        <item h="1" m="1" x="10"/>
        <item m="1" x="3"/>
        <item m="1" x="11"/>
        <item h="1" m="1" x="5"/>
        <item m="1" x="2"/>
        <item h="1" m="1" x="1"/>
        <item h="1" m="1" x="9"/>
        <item h="1" m="1" x="6"/>
        <item h="1" m="1" x="7"/>
        <item m="1" x="8"/>
        <item m="1" x="4"/>
        <item x="0"/>
        <item t="default"/>
      </items>
    </pivotField>
    <pivotField showAll="0" defaultSubtotal="0"/>
    <pivotField showAll="0" defaultSubtotal="0"/>
    <pivotField subtotalTop="0" showAll="0"/>
    <pivotField subtotalTop="0" showAll="0">
      <items count="7">
        <item m="1" x="3"/>
        <item m="1" x="4"/>
        <item m="1" x="2"/>
        <item m="1" x="1"/>
        <item x="0"/>
        <item m="1" x="5"/>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3">
    <i>
      <x/>
    </i>
    <i i="1">
      <x v="1"/>
    </i>
    <i i="2">
      <x v="2"/>
    </i>
  </colItems>
  <pageFields count="2">
    <pageField fld="0" hier="-1"/>
    <pageField fld="103" item="0" hier="-1"/>
  </pageFields>
  <dataFields count="3">
    <dataField name="Average of %_of_women_and_girls_who_report_that_they_have_an_adequate_system_for_disposing_of_used_sanitary_pads" fld="51" subtotal="average" baseField="0" baseItem="1"/>
    <dataField name="Average of %_of_affected_people_who_report_handwashing_at_key_times" fld="52" subtotal="average" baseField="0" baseItem="1"/>
    <dataField name="Average of %_of_households_observed_with_a_place_to_WASH_hands_with_soap_present" fld="53" subtotal="average" baseField="0" baseItem="1"/>
  </dataFields>
  <formats count="10">
    <format dxfId="127">
      <pivotArea type="all" dataOnly="0" outline="0" fieldPosition="0"/>
    </format>
    <format dxfId="126">
      <pivotArea type="all" dataOnly="0" outline="0" fieldPosition="0"/>
    </format>
    <format dxfId="125">
      <pivotArea outline="0" collapsedLevelsAreSubtotals="1" fieldPosition="0"/>
    </format>
    <format dxfId="124">
      <pivotArea field="4" type="button" dataOnly="0" labelOnly="1" outline="0"/>
    </format>
    <format dxfId="123">
      <pivotArea dataOnly="0" labelOnly="1" grandRow="1" outline="0" fieldPosition="0"/>
    </format>
    <format dxfId="122">
      <pivotArea type="all" dataOnly="0" outline="0" fieldPosition="0"/>
    </format>
    <format dxfId="121">
      <pivotArea outline="0" collapsedLevelsAreSubtotals="1" fieldPosition="0"/>
    </format>
    <format dxfId="120">
      <pivotArea field="4" type="button" dataOnly="0" labelOnly="1" outline="0"/>
    </format>
    <format dxfId="119">
      <pivotArea dataOnly="0" labelOnly="1" grandRow="1" outline="0" fieldPosition="0"/>
    </format>
    <format dxfId="118">
      <pivotArea outline="0" collapsedLevelsAreSubtotals="1"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3C9FC332-0B74-447D-A073-C186E33D5EDC}" name="PivotTable23" cacheId="0" dataOnRows="1" applyNumberFormats="0" applyBorderFormats="0" applyFontFormats="0" applyPatternFormats="0" applyAlignmentFormats="0" applyWidthHeightFormats="1" dataCaption="Values" updatedVersion="6" minRefreshableVersion="3" rowGrandTotals="0" itemPrintTitles="1" createdVersion="6" indent="0" outline="1" outlineData="1" multipleFieldFilters="0" chartFormat="11">
  <location ref="B243:C248" firstHeaderRow="1" firstDataRow="1" firstDataCol="1" rowPageCount="2" colPageCount="1"/>
  <pivotFields count="114">
    <pivotField axis="axisPage" subtotalTop="0" multipleItemSelectionAllowed="1" showAll="0">
      <items count="13">
        <item h="1" m="1" x="10"/>
        <item m="1" x="3"/>
        <item m="1" x="11"/>
        <item h="1" m="1" x="5"/>
        <item m="1" x="2"/>
        <item h="1" m="1" x="1"/>
        <item h="1" m="1" x="9"/>
        <item h="1" m="1" x="6"/>
        <item h="1" m="1" x="7"/>
        <item m="1" x="8"/>
        <item m="1" x="4"/>
        <item x="0"/>
        <item t="default"/>
      </items>
    </pivotField>
    <pivotField subtotalTop="0" showAll="0"/>
    <pivotField subtotalTop="0" showAll="0"/>
    <pivotField subtotalTop="0" showAll="0"/>
    <pivotField subtotalTop="0" showAll="0">
      <items count="7">
        <item m="1" x="3"/>
        <item m="1" x="4"/>
        <item m="1" x="2"/>
        <item m="1" x="1"/>
        <item x="0"/>
        <item m="1" x="5"/>
        <item t="default"/>
      </items>
    </pivotField>
    <pivotField subtotalTop="0" showAll="0"/>
    <pivotField subtotalTop="0" multipleItemSelectionAllowed="1" showAll="0"/>
    <pivotField subtotalTop="0" showAll="0"/>
    <pivotField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numFmtId="9" subtotalTop="0" showAll="0"/>
    <pivotField subtotalTop="0" showAll="0"/>
    <pivotField subtotalTop="0" showAll="0"/>
    <pivotField numFmtId="1" subtotalTop="0" showAll="0"/>
    <pivotField numFmtId="9" subtotalTop="0" showAll="0"/>
    <pivotField subtotalTop="0" showAll="0"/>
    <pivotField subtotalTop="0" showAll="0"/>
    <pivotField subtotalTop="0" showAll="0"/>
    <pivotField subtotalTop="0" showAll="0"/>
    <pivotField numFmtId="1" subtotalTop="0" showAll="0"/>
    <pivotField numFmtId="1" subtotalTop="0" showAll="0"/>
    <pivotField numFmtId="9" subtotalTop="0" showAll="0"/>
    <pivotField numFmtId="1" subtotalTop="0" showAll="0"/>
    <pivotField subtotalTop="0" showAll="0"/>
    <pivotField subtotalTop="0" showAll="0"/>
    <pivotField subtotalTop="0" showAll="0"/>
    <pivotField subtotalTop="0" showAll="0"/>
    <pivotField numFmtId="9" subtotalTop="0" showAll="0"/>
    <pivotField numFmtId="1" subtotalTop="0" showAll="0"/>
    <pivotField numFmtId="1" subtotalTop="0" showAll="0"/>
    <pivotField numFmtId="1" subtotalTop="0" showAll="0"/>
    <pivotField numFmtId="1" subtotalTop="0" showAll="0"/>
    <pivotField numFmtId="1" subtotalTop="0" showAll="0"/>
    <pivotField numFmtId="9" subtotalTop="0" showAll="0"/>
    <pivotField numFmtId="9" subtotalTop="0" showAll="0"/>
    <pivotField numFmtId="9" subtotalTop="0" showAll="0"/>
    <pivotField numFmtId="9"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ubtotalTop="0" showAll="0"/>
    <pivotField subtotalTop="0" showAll="0"/>
    <pivotField subtotalTop="0" showAll="0"/>
    <pivotField subtotalTop="0" showAl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s>
  <rowFields count="1">
    <field x="-2"/>
  </rowFields>
  <rowItems count="5">
    <i>
      <x/>
    </i>
    <i i="1">
      <x v="1"/>
    </i>
    <i i="2">
      <x v="2"/>
    </i>
    <i i="3">
      <x v="3"/>
    </i>
    <i i="4">
      <x v="4"/>
    </i>
  </rowItems>
  <colItems count="1">
    <i/>
  </colItems>
  <pageFields count="2">
    <pageField fld="0" hier="-1"/>
    <pageField fld="103" item="0" hier="-1"/>
  </pageFields>
  <dataFields count="5">
    <dataField name=" Total PoP " fld="9" baseField="0" baseItem="0"/>
    <dataField name="Men" fld="45" baseField="0" baseItem="0"/>
    <dataField name="Women" fld="46" baseField="0" baseItem="0"/>
    <dataField name="Boys" fld="47" baseField="0" baseItem="0"/>
    <dataField name="Girls" fld="48" baseField="0" baseItem="0"/>
  </dataFields>
  <formats count="10">
    <format dxfId="137">
      <pivotArea type="all" dataOnly="0" outline="0" fieldPosition="0"/>
    </format>
    <format dxfId="136">
      <pivotArea type="all" dataOnly="0" outline="0" fieldPosition="0"/>
    </format>
    <format dxfId="135">
      <pivotArea outline="0" collapsedLevelsAreSubtotals="1" fieldPosition="0"/>
    </format>
    <format dxfId="134">
      <pivotArea field="4" type="button" dataOnly="0" labelOnly="1" outline="0"/>
    </format>
    <format dxfId="133">
      <pivotArea dataOnly="0" labelOnly="1" grandRow="1" outline="0" fieldPosition="0"/>
    </format>
    <format dxfId="132">
      <pivotArea type="all" dataOnly="0" outline="0" fieldPosition="0"/>
    </format>
    <format dxfId="131">
      <pivotArea outline="0" collapsedLevelsAreSubtotals="1" fieldPosition="0"/>
    </format>
    <format dxfId="130">
      <pivotArea field="4" type="button" dataOnly="0" labelOnly="1" outline="0"/>
    </format>
    <format dxfId="129">
      <pivotArea dataOnly="0" labelOnly="1" grandRow="1" outline="0" fieldPosition="0"/>
    </format>
    <format dxfId="128">
      <pivotArea outline="0" collapsedLevelsAreSubtotals="1"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2337F7A2-6700-40A4-89D7-0D7B17A9A50F}" name="PivotTable6"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C111:D115" firstHeaderRow="1" firstDataRow="1" firstDataCol="1" rowPageCount="3" colPageCount="1"/>
  <pivotFields count="114">
    <pivotField axis="axisPage" subtotalTop="0" multipleItemSelectionAllowed="1" showAll="0">
      <items count="13">
        <item m="1" x="10"/>
        <item m="1" x="3"/>
        <item m="1" x="11"/>
        <item h="1" m="1" x="5"/>
        <item m="1" x="2"/>
        <item h="1" m="1" x="1"/>
        <item h="1" m="1" x="9"/>
        <item h="1" m="1" x="6"/>
        <item h="1" m="1" x="7"/>
        <item m="1" x="8"/>
        <item m="1" x="4"/>
        <item x="0"/>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4">
    <i>
      <x/>
    </i>
    <i i="1">
      <x v="1"/>
    </i>
    <i i="2">
      <x v="2"/>
    </i>
    <i i="3">
      <x v="3"/>
    </i>
  </rowItems>
  <colItems count="1">
    <i/>
  </colItems>
  <pageFields count="3">
    <pageField fld="0" hier="-1"/>
    <pageField fld="4" hier="-1"/>
    <pageField fld="103" hier="-1"/>
  </pageFields>
  <dataFields count="4">
    <dataField name="Average of %_of_Men_that_feel_safe_to_use_latrines_when_they_need_to_(or_at_day/night)'?" fld="36" subtotal="average" baseField="0" baseItem="1" numFmtId="9"/>
    <dataField name="Average of %_of_Women_that_feel_safe_to_use_latrines_when_they_need_to_(or_at_day/night)?" fld="37" subtotal="average" baseField="0" baseItem="1" numFmtId="9"/>
    <dataField name="Average of %_of_Boys_that_feel_safe_to_use_latrines_when_they_need_to_(or_at_day/night)?" fld="38" subtotal="average" baseField="0" baseItem="2" numFmtId="9"/>
    <dataField name="Average of %_of_Girlss_that_feel_safe_to_use_latrines_when_they_need_to_(or_at_day/night)?" fld="39" subtotal="average" baseField="0" baseItem="2" numFmtId="9"/>
  </dataFields>
  <formats count="13">
    <format dxfId="150">
      <pivotArea field="4" type="button" dataOnly="0" labelOnly="1" outline="0" axis="axisPage" fieldPosition="1"/>
    </format>
    <format dxfId="149">
      <pivotArea type="all" dataOnly="0" outline="0" fieldPosition="0"/>
    </format>
    <format dxfId="148">
      <pivotArea outline="0" collapsedLevelsAreSubtotals="1" fieldPosition="0"/>
    </format>
    <format dxfId="147">
      <pivotArea type="origin" dataOnly="0" labelOnly="1" outline="0" fieldPosition="0"/>
    </format>
    <format dxfId="146">
      <pivotArea type="topRight" dataOnly="0" labelOnly="1" outline="0" fieldPosition="0"/>
    </format>
    <format dxfId="145">
      <pivotArea field="-2" type="button" dataOnly="0" labelOnly="1" outline="0" axis="axisRow" fieldPosition="0"/>
    </format>
    <format dxfId="144">
      <pivotArea type="all" dataOnly="0" outline="0" fieldPosition="0"/>
    </format>
    <format dxfId="143">
      <pivotArea outline="0" collapsedLevelsAreSubtotals="1" fieldPosition="0"/>
    </format>
    <format dxfId="142">
      <pivotArea field="4" type="button" dataOnly="0" labelOnly="1" outline="0" axis="axisPage" fieldPosition="1"/>
    </format>
    <format dxfId="141">
      <pivotArea dataOnly="0" labelOnly="1" outline="0" fieldPosition="0">
        <references count="1">
          <reference field="4" count="1">
            <x v="1"/>
          </reference>
        </references>
      </pivotArea>
    </format>
    <format dxfId="140">
      <pivotArea outline="0" collapsedLevelsAreSubtotals="1" fieldPosition="0">
        <references count="1">
          <reference field="4294967294" count="1" selected="0">
            <x v="1"/>
          </reference>
        </references>
      </pivotArea>
    </format>
    <format dxfId="139">
      <pivotArea outline="0" collapsedLevelsAreSubtotals="1" fieldPosition="0">
        <references count="1">
          <reference field="4294967294" count="1" selected="0">
            <x v="0"/>
          </reference>
        </references>
      </pivotArea>
    </format>
    <format dxfId="138">
      <pivotArea outline="0" collapsedLevelsAreSubtotals="1" fieldPosition="0">
        <references count="1">
          <reference field="4294967294" count="2" selected="0">
            <x v="2"/>
            <x v="3"/>
          </reference>
        </references>
      </pivotArea>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800-000018000000}" name="R_water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1">
  <location ref="B28:D29" firstHeaderRow="0" firstDataRow="1" firstDataCol="1" rowPageCount="3" colPageCount="1"/>
  <pivotFields count="114">
    <pivotField axis="axisPage" subtotalTop="0" multipleItemSelectionAllowed="1" showAll="0">
      <items count="13">
        <item m="1" x="10"/>
        <item m="1" x="3"/>
        <item h="1" m="1" x="5"/>
        <item h="1" m="1" x="1"/>
        <item m="1" x="11"/>
        <item m="1" x="2"/>
        <item h="1" m="1" x="9"/>
        <item h="1" m="1" x="6"/>
        <item h="1" m="1" x="7"/>
        <item m="1" x="8"/>
        <item m="1" x="4"/>
        <item x="0"/>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subtotalTop="0" showAll="0"/>
    <pivotField axis="axisRow" multipleItemSelectionAllowed="1" showAll="0" defaultSubtotal="0">
      <items count="10">
        <item x="0"/>
        <item m="1" x="7"/>
        <item h="1" m="1" x="6"/>
        <item m="1" x="2"/>
        <item h="1" m="1" x="1"/>
        <item m="1" x="8"/>
        <item h="1" m="1" x="5"/>
        <item h="1" m="1" x="9"/>
        <item h="1" m="1" x="3"/>
        <item h="1" m="1" x="4"/>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dataField="1" subtotalTop="0" showAll="0"/>
    <pivotField numFmtId="9" subtotalTop="0" showAll="0"/>
    <pivotField showAll="0" defaultSubtotal="0"/>
    <pivotField subtotalTop="0" showAll="0"/>
    <pivotField dataField="1"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6"/>
  </rowFields>
  <rowItems count="1">
    <i>
      <x/>
    </i>
  </rowItems>
  <colFields count="1">
    <field x="-2"/>
  </colFields>
  <colItems count="2">
    <i>
      <x/>
    </i>
    <i i="1">
      <x v="1"/>
    </i>
  </colItems>
  <pageFields count="3">
    <pageField fld="0" hier="-1"/>
    <pageField fld="4" hier="-1"/>
    <pageField fld="103" hier="-1"/>
  </pageFields>
  <dataFields count="2">
    <dataField name="Coverage" fld="73" baseField="77" baseItem="1" numFmtId="1"/>
    <dataField name="Gap" fld="77" baseField="77" baseItem="1" numFmtId="1"/>
  </dataFields>
  <formats count="11">
    <format dxfId="161">
      <pivotArea type="all" dataOnly="0" outline="0" fieldPosition="0"/>
    </format>
    <format dxfId="160">
      <pivotArea outline="0" collapsedLevelsAreSubtotals="1" fieldPosition="0"/>
    </format>
    <format dxfId="159">
      <pivotArea type="all" dataOnly="0" outline="0" fieldPosition="0"/>
    </format>
    <format dxfId="158">
      <pivotArea dataOnly="0" labelOnly="1" outline="0" fieldPosition="0">
        <references count="1">
          <reference field="4294967294" count="2">
            <x v="0"/>
            <x v="1"/>
          </reference>
        </references>
      </pivotArea>
    </format>
    <format dxfId="157">
      <pivotArea outline="0" fieldPosition="0">
        <references count="1">
          <reference field="4294967294" count="1">
            <x v="0"/>
          </reference>
        </references>
      </pivotArea>
    </format>
    <format dxfId="156">
      <pivotArea outline="0" fieldPosition="0">
        <references count="1">
          <reference field="4294967294" count="1">
            <x v="1"/>
          </reference>
        </references>
      </pivotArea>
    </format>
    <format dxfId="155">
      <pivotArea type="all" dataOnly="0" outline="0" fieldPosition="0"/>
    </format>
    <format dxfId="154">
      <pivotArea outline="0" collapsedLevelsAreSubtotals="1" fieldPosition="0"/>
    </format>
    <format dxfId="153">
      <pivotArea dataOnly="0" labelOnly="1" outline="0" fieldPosition="0">
        <references count="1">
          <reference field="4294967294" count="2">
            <x v="0"/>
            <x v="1"/>
          </reference>
        </references>
      </pivotArea>
    </format>
    <format dxfId="152">
      <pivotArea field="4" type="button" dataOnly="0" labelOnly="1" outline="0" axis="axisPage" fieldPosition="1"/>
    </format>
    <format dxfId="151">
      <pivotArea dataOnly="0" labelOnly="1" outline="0" fieldPosition="0">
        <references count="1">
          <reference field="4" count="1">
            <x v="1"/>
          </reference>
        </references>
      </pivotArea>
    </format>
  </formats>
  <chartFormats count="4">
    <chartFormat chart="7"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1"/>
          </reference>
        </references>
      </pivotArea>
    </chartFormat>
    <chartFormat chart="15" format="8" series="1">
      <pivotArea type="data" outline="0" fieldPosition="0">
        <references count="1">
          <reference field="4294967294" count="1" selected="0">
            <x v="0"/>
          </reference>
        </references>
      </pivotArea>
    </chartFormat>
    <chartFormat chart="15" format="9" series="1">
      <pivotArea type="data" outline="0" fieldPosition="0">
        <references count="1">
          <reference field="4294967294" count="1" selected="0">
            <x v="1"/>
          </reference>
        </references>
      </pivotArea>
    </chartFormat>
  </chart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F004454F-8C92-49A2-A1B3-FF0E80A5D55A}" name="PivotTable3"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C358:C359" firstHeaderRow="1" firstDataRow="1" firstDataCol="0" rowPageCount="2" colPageCount="1"/>
  <pivotFields count="114">
    <pivotField axis="axisPage" subtotalTop="0" showAll="0">
      <items count="13">
        <item m="1" x="10"/>
        <item m="1" x="3"/>
        <item m="1" x="11"/>
        <item m="1" x="5"/>
        <item m="1" x="2"/>
        <item m="1" x="1"/>
        <item m="1" x="9"/>
        <item m="1" x="6"/>
        <item m="1" x="7"/>
        <item m="1" x="8"/>
        <item m="1" x="4"/>
        <item x="0"/>
        <item t="default"/>
      </items>
    </pivotField>
    <pivotField showAll="0" defaultSubtotal="0"/>
    <pivotField showAll="0" defaultSubtotal="0"/>
    <pivotField subtotalTop="0" showAll="0"/>
    <pivotField subtotalTop="0" multipleItemSelectionAllowed="1" showAll="0">
      <items count="7">
        <item m="1" x="3"/>
        <item m="1" x="4"/>
        <item m="1" x="2"/>
        <item h="1" m="1" x="1"/>
        <item x="0"/>
        <item m="1" x="5"/>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Items count="1">
    <i/>
  </colItems>
  <pageFields count="2">
    <pageField fld="0" item="11" hier="-1"/>
    <pageField fld="103" hier="-1"/>
  </pageFields>
  <dataFields count="1">
    <dataField name="Average of %_of_TLS/CFS_with_a_designated_place_for_children_to_wash_hands_where_soap_is_available" fld="54" subtotal="average" baseField="10" baseItem="0" numFmtId="9"/>
  </dataFields>
  <formats count="17">
    <format dxfId="178">
      <pivotArea type="all" dataOnly="0" outline="0" fieldPosition="0"/>
    </format>
    <format dxfId="177">
      <pivotArea outline="0" collapsedLevelsAreSubtotals="1" fieldPosition="0"/>
    </format>
    <format dxfId="176">
      <pivotArea field="4" type="button" dataOnly="0" labelOnly="1" outline="0"/>
    </format>
    <format dxfId="175">
      <pivotArea dataOnly="0" labelOnly="1" grandRow="1" outline="0" fieldPosition="0"/>
    </format>
    <format dxfId="174">
      <pivotArea type="all" dataOnly="0" outline="0" fieldPosition="0"/>
    </format>
    <format dxfId="173">
      <pivotArea outline="0" collapsedLevelsAreSubtotals="1" fieldPosition="0"/>
    </format>
    <format dxfId="172">
      <pivotArea type="origin" dataOnly="0" labelOnly="1" outline="0" fieldPosition="0"/>
    </format>
    <format dxfId="171">
      <pivotArea field="103" type="button" dataOnly="0" labelOnly="1" outline="0" axis="axisPage" fieldPosition="1"/>
    </format>
    <format dxfId="170">
      <pivotArea type="topRight" dataOnly="0" labelOnly="1" outline="0" fieldPosition="0"/>
    </format>
    <format dxfId="169">
      <pivotArea dataOnly="0" labelOnly="1" fieldPosition="0">
        <references count="1">
          <reference field="103" count="0"/>
        </references>
      </pivotArea>
    </format>
    <format dxfId="168">
      <pivotArea type="all" dataOnly="0" outline="0" fieldPosition="0"/>
    </format>
    <format dxfId="167">
      <pivotArea outline="0" collapsedLevelsAreSubtotals="1" fieldPosition="0"/>
    </format>
    <format dxfId="166">
      <pivotArea field="4" type="button" dataOnly="0" labelOnly="1" outline="0"/>
    </format>
    <format dxfId="165">
      <pivotArea field="4" type="button" dataOnly="0" labelOnly="1" outline="0"/>
    </format>
    <format dxfId="164">
      <pivotArea field="4" type="button" dataOnly="0" labelOnly="1" outline="0"/>
    </format>
    <format dxfId="163">
      <pivotArea field="4" type="button" dataOnly="0" labelOnly="1" outline="0"/>
    </format>
    <format dxfId="162">
      <pivotArea outline="0" collapsedLevelsAreSubtotals="1" fieldPosition="0"/>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BABC0F69-F87D-48D3-8B25-BCA75C1B2588}" name="PivotTable2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1">
  <location ref="I28:I29" firstHeaderRow="1" firstDataRow="1" firstDataCol="0" rowPageCount="3" colPageCount="1"/>
  <pivotFields count="114">
    <pivotField axis="axisPage" subtotalTop="0" multipleItemSelectionAllowed="1" showAll="0">
      <items count="13">
        <item m="1" x="10"/>
        <item m="1" x="3"/>
        <item h="1" m="1" x="5"/>
        <item h="1" m="1" x="1"/>
        <item m="1" x="11"/>
        <item m="1" x="2"/>
        <item h="1" m="1" x="9"/>
        <item h="1" m="1" x="6"/>
        <item h="1" m="1" x="7"/>
        <item m="1" x="8"/>
        <item m="1" x="4"/>
        <item x="0"/>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Items count="1">
    <i/>
  </colItems>
  <pageFields count="3">
    <pageField fld="0" hier="-1"/>
    <pageField fld="4" hier="-1"/>
    <pageField fld="103" hier="-1"/>
  </pageFields>
  <dataFields count="1">
    <dataField name="Average of Avg_repair_time for_water_points_# days" fld="28" subtotal="average" baseField="10" baseItem="1633672800" numFmtId="164"/>
  </dataFields>
  <formats count="8">
    <format dxfId="186">
      <pivotArea type="all" dataOnly="0" outline="0" fieldPosition="0"/>
    </format>
    <format dxfId="185">
      <pivotArea outline="0" collapsedLevelsAreSubtotals="1" fieldPosition="0"/>
    </format>
    <format dxfId="184">
      <pivotArea type="all" dataOnly="0" outline="0" fieldPosition="0"/>
    </format>
    <format dxfId="183">
      <pivotArea type="all" dataOnly="0" outline="0" fieldPosition="0"/>
    </format>
    <format dxfId="182">
      <pivotArea outline="0" collapsedLevelsAreSubtotals="1" fieldPosition="0"/>
    </format>
    <format dxfId="181">
      <pivotArea field="4" type="button" dataOnly="0" labelOnly="1" outline="0" axis="axisPage" fieldPosition="1"/>
    </format>
    <format dxfId="180">
      <pivotArea dataOnly="0" labelOnly="1" outline="0" fieldPosition="0">
        <references count="1">
          <reference field="4" count="1">
            <x v="1"/>
          </reference>
        </references>
      </pivotArea>
    </format>
    <format dxfId="179">
      <pivotArea outline="0" collapsedLevelsAreSubtotals="1" fieldPosition="0"/>
    </format>
  </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800-000012000000}" name="R_Geo"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24">
  <location ref="H261:I263" firstHeaderRow="1" firstDataRow="2" firstDataCol="1" rowPageCount="2" colPageCount="1"/>
  <pivotFields count="114">
    <pivotField axis="axisPage" subtotalTop="0" showAll="0">
      <items count="13">
        <item m="1" x="10"/>
        <item m="1" x="3"/>
        <item m="1" x="11"/>
        <item m="1" x="5"/>
        <item m="1" x="2"/>
        <item m="1" x="1"/>
        <item m="1" x="9"/>
        <item m="1" x="6"/>
        <item m="1" x="7"/>
        <item m="1" x="8"/>
        <item m="1" x="4"/>
        <item x="0"/>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subtotalTop="0" showAll="0"/>
    <pivotField axis="axisRow" showAll="0" defaultSubtotal="0">
      <items count="10">
        <item x="0"/>
        <item m="1" x="7"/>
        <item m="1" x="6"/>
        <item m="1" x="2"/>
        <item m="1" x="1"/>
        <item m="1" x="8"/>
        <item m="1" x="5"/>
        <item m="1" x="9"/>
        <item m="1" x="3"/>
        <item m="1" x="4"/>
      </items>
    </pivotField>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Col" subtotalTop="0" showAll="0">
      <items count="5">
        <item x="0"/>
        <item n="Gap" m="1" x="3"/>
        <item h="1" m="1" x="2"/>
        <item h="1"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6"/>
  </rowFields>
  <rowItems count="1">
    <i>
      <x/>
    </i>
  </rowItems>
  <colFields count="1">
    <field x="103"/>
  </colFields>
  <colItems count="1">
    <i>
      <x/>
    </i>
  </colItems>
  <pageFields count="2">
    <pageField fld="0" item="11" hier="-1"/>
    <pageField fld="4" hier="-1"/>
  </pageFields>
  <dataFields count="1">
    <dataField name="Count of Site Name" fld="7" subtotal="count" baseField="0" baseItem="0"/>
  </dataFields>
  <formats count="19">
    <format dxfId="205">
      <pivotArea type="all" dataOnly="0" outline="0" fieldPosition="0"/>
    </format>
    <format dxfId="204">
      <pivotArea outline="0" collapsedLevelsAreSubtotals="1" fieldPosition="0"/>
    </format>
    <format dxfId="203">
      <pivotArea field="4" type="button" dataOnly="0" labelOnly="1" outline="0" axis="axisPage" fieldPosition="1"/>
    </format>
    <format dxfId="202">
      <pivotArea dataOnly="0" labelOnly="1" fieldPosition="0">
        <references count="1">
          <reference field="4" count="0"/>
        </references>
      </pivotArea>
    </format>
    <format dxfId="201">
      <pivotArea dataOnly="0" labelOnly="1" grandRow="1" outline="0" fieldPosition="0"/>
    </format>
    <format dxfId="200">
      <pivotArea dataOnly="0" labelOnly="1" outline="0" fieldPosition="0">
        <references count="1">
          <reference field="4294967294" count="1">
            <x v="0"/>
          </reference>
        </references>
      </pivotArea>
    </format>
    <format dxfId="199">
      <pivotArea type="all" dataOnly="0" outline="0" fieldPosition="0"/>
    </format>
    <format dxfId="198">
      <pivotArea outline="0" collapsedLevelsAreSubtotals="1" fieldPosition="0"/>
    </format>
    <format dxfId="197">
      <pivotArea type="origin" dataOnly="0" labelOnly="1" outline="0" fieldPosition="0"/>
    </format>
    <format dxfId="196">
      <pivotArea field="103" type="button" dataOnly="0" labelOnly="1" outline="0" axis="axisCol" fieldPosition="0"/>
    </format>
    <format dxfId="195">
      <pivotArea type="topRight" dataOnly="0" labelOnly="1" outline="0" fieldPosition="0"/>
    </format>
    <format dxfId="194">
      <pivotArea dataOnly="0" labelOnly="1" fieldPosition="0">
        <references count="1">
          <reference field="103" count="0"/>
        </references>
      </pivotArea>
    </format>
    <format dxfId="193">
      <pivotArea type="all" dataOnly="0" outline="0" fieldPosition="0"/>
    </format>
    <format dxfId="192">
      <pivotArea outline="0" collapsedLevelsAreSubtotals="1" fieldPosition="0"/>
    </format>
    <format dxfId="191">
      <pivotArea dataOnly="0" labelOnly="1" fieldPosition="0">
        <references count="1">
          <reference field="103" count="0"/>
        </references>
      </pivotArea>
    </format>
    <format dxfId="190">
      <pivotArea field="4" type="button" dataOnly="0" labelOnly="1" outline="0" axis="axisPage" fieldPosition="1"/>
    </format>
    <format dxfId="189">
      <pivotArea dataOnly="0" labelOnly="1" outline="0" fieldPosition="0">
        <references count="2">
          <reference field="0" count="1" selected="0">
            <x v="7"/>
          </reference>
          <reference field="4" count="0"/>
        </references>
      </pivotArea>
    </format>
    <format dxfId="188">
      <pivotArea dataOnly="0" labelOnly="1" outline="0" fieldPosition="0">
        <references count="2">
          <reference field="0" count="1" selected="0">
            <x v="8"/>
          </reference>
          <reference field="4" count="0"/>
        </references>
      </pivotArea>
    </format>
    <format dxfId="187">
      <pivotArea dataOnly="0" labelOnly="1" outline="0" fieldPosition="0">
        <references count="2">
          <reference field="0" count="1" selected="0">
            <x v="9"/>
          </reference>
          <reference field="4" count="0"/>
        </references>
      </pivotArea>
    </format>
  </formats>
  <chartFormats count="8">
    <chartFormat chart="1" format="0" series="1">
      <pivotArea type="data" outline="0" fieldPosition="0">
        <references count="2">
          <reference field="4294967294" count="1" selected="0">
            <x v="0"/>
          </reference>
          <reference field="103" count="1" selected="0">
            <x v="0"/>
          </reference>
        </references>
      </pivotArea>
    </chartFormat>
    <chartFormat chart="1" format="1" series="1">
      <pivotArea type="data" outline="0" fieldPosition="0">
        <references count="2">
          <reference field="4294967294" count="1" selected="0">
            <x v="0"/>
          </reference>
          <reference field="103" count="1" selected="0">
            <x v="1"/>
          </reference>
        </references>
      </pivotArea>
    </chartFormat>
    <chartFormat chart="9" format="8" series="1">
      <pivotArea type="data" outline="0" fieldPosition="0">
        <references count="2">
          <reference field="4294967294" count="1" selected="0">
            <x v="0"/>
          </reference>
          <reference field="103" count="1" selected="0">
            <x v="0"/>
          </reference>
        </references>
      </pivotArea>
    </chartFormat>
    <chartFormat chart="9" format="9" series="1">
      <pivotArea type="data" outline="0" fieldPosition="0">
        <references count="2">
          <reference field="4294967294" count="1" selected="0">
            <x v="0"/>
          </reference>
          <reference field="103" count="1" selected="0">
            <x v="1"/>
          </reference>
        </references>
      </pivotArea>
    </chartFormat>
    <chartFormat chart="16" format="8" series="1">
      <pivotArea type="data" outline="0" fieldPosition="0">
        <references count="2">
          <reference field="4294967294" count="1" selected="0">
            <x v="0"/>
          </reference>
          <reference field="103" count="1" selected="0">
            <x v="0"/>
          </reference>
        </references>
      </pivotArea>
    </chartFormat>
    <chartFormat chart="16" format="9" series="1">
      <pivotArea type="data" outline="0" fieldPosition="0">
        <references count="2">
          <reference field="4294967294" count="1" selected="0">
            <x v="0"/>
          </reference>
          <reference field="103" count="1" selected="0">
            <x v="1"/>
          </reference>
        </references>
      </pivotArea>
    </chartFormat>
    <chartFormat chart="9" format="10" series="1">
      <pivotArea type="data" outline="0" fieldPosition="0">
        <references count="1">
          <reference field="4294967294" count="1" selected="0">
            <x v="0"/>
          </reference>
        </references>
      </pivotArea>
    </chartFormat>
    <chartFormat chart="16" format="10" series="1">
      <pivotArea type="data" outline="0" fieldPosition="0">
        <references count="1">
          <reference field="4294967294" count="1" selected="0">
            <x v="0"/>
          </reference>
        </references>
      </pivotArea>
    </chartFormat>
  </chartFormat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5163A4B7-F670-4A83-A666-818FC321ED29}" name="PivotTable22"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State">
  <location ref="B173:D174" firstHeaderRow="0" firstDataRow="1" firstDataCol="0" rowPageCount="2" colPageCount="1"/>
  <pivotFields count="114">
    <pivotField axis="axisPage" subtotalTop="0" multipleItemSelectionAllowed="1" showAll="0">
      <items count="13">
        <item m="1" x="10"/>
        <item m="1" x="3"/>
        <item m="1" x="11"/>
        <item h="1" m="1" x="5"/>
        <item m="1" x="2"/>
        <item h="1" m="1" x="1"/>
        <item h="1" m="1" x="9"/>
        <item h="1" m="1" x="6"/>
        <item h="1" m="1" x="7"/>
        <item m="1" x="8"/>
        <item m="1" x="4"/>
        <item x="0"/>
        <item t="default"/>
      </items>
    </pivotField>
    <pivotField showAll="0" defaultSubtotal="0"/>
    <pivotField showAll="0" defaultSubtotal="0"/>
    <pivotField subtotalTop="0" showAll="0"/>
    <pivotField subtotalTop="0" showAll="0">
      <items count="7">
        <item m="1" x="3"/>
        <item m="1" x="4"/>
        <item m="1" x="2"/>
        <item h="1" m="1" x="1"/>
        <item x="0"/>
        <item m="1" x="5"/>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dataField="1" showAll="0"/>
    <pivotField showAll="0"/>
    <pivotField showAll="0"/>
    <pivotField showAll="0" sortType="descending"/>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3">
    <i>
      <x/>
    </i>
    <i i="1">
      <x v="1"/>
    </i>
    <i i="2">
      <x v="2"/>
    </i>
  </colItems>
  <pageFields count="2">
    <pageField fld="0" hier="-1"/>
    <pageField fld="103" item="0" hier="-1"/>
  </pageFields>
  <dataFields count="3">
    <dataField name="Average of %_of_OD_within_15ft_of_latrines" fld="34" subtotal="average" baseField="10" baseItem="1633672800" numFmtId="9"/>
    <dataField name="Sum of #_m3_of_faecal_sludge_removed_from_camp" fld="35" baseField="0" baseItem="0" numFmtId="164"/>
    <dataField name="Sum of #_of_functional_children_latrines" fld="40" baseField="0" baseItem="0" numFmtId="164"/>
  </dataFields>
  <formats count="14">
    <format dxfId="219">
      <pivotArea type="all" dataOnly="0" outline="0" fieldPosition="0"/>
    </format>
    <format dxfId="218">
      <pivotArea outline="0" collapsedLevelsAreSubtotals="1" fieldPosition="0"/>
    </format>
    <format dxfId="217">
      <pivotArea type="origin" dataOnly="0" labelOnly="1" outline="0" fieldPosition="0"/>
    </format>
    <format dxfId="216">
      <pivotArea type="topRight" dataOnly="0" labelOnly="1" outline="0" fieldPosition="0"/>
    </format>
    <format dxfId="215">
      <pivotArea field="4" type="button" dataOnly="0" labelOnly="1" outline="0"/>
    </format>
    <format dxfId="214">
      <pivotArea dataOnly="0" labelOnly="1" grandRow="1" outline="0" fieldPosition="0"/>
    </format>
    <format dxfId="213">
      <pivotArea dataOnly="0" labelOnly="1" grandCol="1" outline="0" fieldPosition="0"/>
    </format>
    <format dxfId="212">
      <pivotArea type="all" dataOnly="0" outline="0" fieldPosition="0"/>
    </format>
    <format dxfId="211">
      <pivotArea outline="0" collapsedLevelsAreSubtotals="1" fieldPosition="0"/>
    </format>
    <format dxfId="210">
      <pivotArea type="all" dataOnly="0" outline="0" fieldPosition="0"/>
    </format>
    <format dxfId="209">
      <pivotArea outline="0" collapsedLevelsAreSubtotals="1" fieldPosition="0"/>
    </format>
    <format dxfId="208">
      <pivotArea dataOnly="0" labelOnly="1" outline="0" axis="axisValues" fieldPosition="0"/>
    </format>
    <format dxfId="207">
      <pivotArea outline="0" collapsedLevelsAreSubtotals="1" fieldPosition="0">
        <references count="1">
          <reference field="4294967294" count="1" selected="0">
            <x v="1"/>
          </reference>
        </references>
      </pivotArea>
    </format>
    <format dxfId="206">
      <pivotArea outline="0" collapsedLevelsAreSubtotals="1" fieldPosition="0">
        <references count="1">
          <reference field="4294967294" count="1" selected="0">
            <x v="2"/>
          </reference>
        </references>
      </pivotArea>
    </format>
  </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800-00000A000000}" name="latrine_Rak"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C97:D104" firstHeaderRow="1" firstDataRow="2" firstDataCol="1" rowPageCount="3" colPageCount="1"/>
  <pivotFields count="114">
    <pivotField axis="axisPage" subtotalTop="0" multipleItemSelectionAllowed="1" showAll="0">
      <items count="13">
        <item m="1" x="10"/>
        <item m="1" x="3"/>
        <item m="1" x="11"/>
        <item h="1" m="1" x="5"/>
        <item m="1" x="2"/>
        <item h="1" m="1" x="1"/>
        <item h="1" m="1" x="9"/>
        <item h="1" m="1" x="6"/>
        <item h="1" m="1" x="7"/>
        <item m="1" x="8"/>
        <item m="1" x="4"/>
        <item x="0"/>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subtotalTop="0" showAll="0"/>
    <pivotField axis="axisCol" multipleItemSelectionAllowed="1" showAll="0" defaultSubtotal="0">
      <items count="10">
        <item n="# in active camps (20:1)" x="0"/>
        <item m="1" x="7"/>
        <item m="1" x="6"/>
        <item h="1" m="1" x="4"/>
        <item m="1" x="2"/>
        <item m="1" x="1"/>
        <item n="# in villages (6:1)" m="1" x="8"/>
        <item m="1" x="5"/>
        <item h="1" m="1" x="9"/>
        <item m="1" x="3"/>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dataField="1"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6">
    <i>
      <x/>
    </i>
    <i i="1">
      <x v="1"/>
    </i>
    <i i="2">
      <x v="2"/>
    </i>
    <i i="3">
      <x v="3"/>
    </i>
    <i i="4">
      <x v="4"/>
    </i>
    <i i="5">
      <x v="5"/>
    </i>
  </rowItems>
  <colFields count="1">
    <field x="6"/>
  </colFields>
  <colItems count="1">
    <i>
      <x/>
    </i>
  </colItems>
  <pageFields count="3">
    <pageField fld="0" hier="-1"/>
    <pageField fld="4" hier="-1"/>
    <pageField fld="103" hier="-1"/>
  </pageFields>
  <dataFields count="6">
    <dataField name="# latrines (target)" fld="81" baseField="0" baseItem="0"/>
    <dataField name="Sum of #_latrines_repaired" fld="33" baseField="6" baseItem="0"/>
    <dataField name="Sum of #_Existing_latrines" fld="32" baseField="0" baseItem="0"/>
    <dataField name="Sum of #_Functional_adult_latrines" fld="31" baseField="6" baseItem="0"/>
    <dataField name="Sum of #_of_PWD_with_adapted_sanitation_option" fld="41" baseField="6" baseItem="0"/>
    <dataField name="Sum of #_of_functional_children_latrines" fld="40" baseField="6" baseItem="0"/>
  </dataFields>
  <formats count="12">
    <format dxfId="231">
      <pivotArea field="4" type="button" dataOnly="0" labelOnly="1" outline="0" axis="axisPage" fieldPosition="1"/>
    </format>
    <format dxfId="230">
      <pivotArea type="all" dataOnly="0" outline="0" fieldPosition="0"/>
    </format>
    <format dxfId="229">
      <pivotArea outline="0" collapsedLevelsAreSubtotals="1" fieldPosition="0"/>
    </format>
    <format dxfId="228">
      <pivotArea type="origin" dataOnly="0" labelOnly="1" outline="0" fieldPosition="0"/>
    </format>
    <format dxfId="227">
      <pivotArea type="topRight" dataOnly="0" labelOnly="1" outline="0" fieldPosition="0"/>
    </format>
    <format dxfId="226">
      <pivotArea field="-2" type="button" dataOnly="0" labelOnly="1" outline="0" axis="axisRow" fieldPosition="0"/>
    </format>
    <format dxfId="225">
      <pivotArea type="all" dataOnly="0" outline="0" fieldPosition="0"/>
    </format>
    <format dxfId="224">
      <pivotArea outline="0" collapsedLevelsAreSubtotals="1" fieldPosition="0"/>
    </format>
    <format dxfId="223">
      <pivotArea dataOnly="0" labelOnly="1" outline="0" fieldPosition="0">
        <references count="1">
          <reference field="4294967294" count="1">
            <x v="0"/>
          </reference>
        </references>
      </pivotArea>
    </format>
    <format dxfId="222">
      <pivotArea field="4" type="button" dataOnly="0" labelOnly="1" outline="0" axis="axisPage" fieldPosition="1"/>
    </format>
    <format dxfId="221">
      <pivotArea dataOnly="0" labelOnly="1" outline="0" fieldPosition="0">
        <references count="1">
          <reference field="4" count="1">
            <x v="1"/>
          </reference>
        </references>
      </pivotArea>
    </format>
    <format dxfId="220">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644C6838-EA2D-499C-AF0C-0E826E2370B4}" name="PivotTable8"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State">
  <location ref="B128:C129" firstHeaderRow="0" firstDataRow="1" firstDataCol="0" rowPageCount="2" colPageCount="1"/>
  <pivotFields count="114">
    <pivotField axis="axisPage" subtotalTop="0" multipleItemSelectionAllowed="1" showAll="0">
      <items count="13">
        <item m="1" x="10"/>
        <item m="1" x="3"/>
        <item m="1" x="11"/>
        <item h="1" m="1" x="5"/>
        <item m="1" x="2"/>
        <item h="1" m="1" x="1"/>
        <item h="1" m="1" x="9"/>
        <item h="1" m="1" x="6"/>
        <item h="1" m="1" x="7"/>
        <item m="1" x="8"/>
        <item m="1" x="4"/>
        <item x="0"/>
        <item t="default"/>
      </items>
    </pivotField>
    <pivotField showAll="0" defaultSubtotal="0"/>
    <pivotField showAll="0" defaultSubtotal="0"/>
    <pivotField subtotalTop="0" showAll="0"/>
    <pivotField subtotalTop="0" showAll="0">
      <items count="7">
        <item m="1" x="3"/>
        <item m="1" x="4"/>
        <item m="1" x="2"/>
        <item h="1" m="1" x="1"/>
        <item x="0"/>
        <item m="1" x="5"/>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dataField="1"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sortType="descending"/>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2">
    <i>
      <x/>
    </i>
    <i i="1">
      <x v="1"/>
    </i>
  </colItems>
  <pageFields count="2">
    <pageField fld="0" hier="-1"/>
    <pageField fld="103" item="0" hier="-1"/>
  </pageFields>
  <dataFields count="2">
    <dataField name="Sum of #_students at TLS_CFS" fld="12" baseField="0" baseItem="0"/>
    <dataField name="Sum of #_of_latrines_in_TLS/CFS" fld="42" baseField="0" baseItem="0"/>
  </dataFields>
  <formats count="9">
    <format dxfId="240">
      <pivotArea type="all" dataOnly="0" outline="0" fieldPosition="0"/>
    </format>
    <format dxfId="239">
      <pivotArea outline="0" collapsedLevelsAreSubtotals="1" fieldPosition="0"/>
    </format>
    <format dxfId="238">
      <pivotArea type="origin" dataOnly="0" labelOnly="1" outline="0" fieldPosition="0"/>
    </format>
    <format dxfId="237">
      <pivotArea type="topRight" dataOnly="0" labelOnly="1" outline="0" fieldPosition="0"/>
    </format>
    <format dxfId="236">
      <pivotArea field="4" type="button" dataOnly="0" labelOnly="1" outline="0"/>
    </format>
    <format dxfId="235">
      <pivotArea dataOnly="0" labelOnly="1" grandRow="1" outline="0" fieldPosition="0"/>
    </format>
    <format dxfId="234">
      <pivotArea dataOnly="0" labelOnly="1" grandCol="1" outline="0" fieldPosition="0"/>
    </format>
    <format dxfId="233">
      <pivotArea type="all" dataOnly="0" outline="0" fieldPosition="0"/>
    </format>
    <format dxfId="232">
      <pivotArea outline="0" collapsedLevelsAreSubtotals="1" fieldPosition="0"/>
    </format>
  </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HRP_1" cacheId="0" applyNumberFormats="0" applyBorderFormats="0" applyFontFormats="0" applyPatternFormats="0" applyAlignmentFormats="0" applyWidthHeightFormats="1" dataCaption="Values" updatedVersion="6" minRefreshableVersion="3" colGrandTotals="0" itemPrintTitles="1" createdVersion="6" indent="0" showHeaders="0" outline="1" outlineData="1" multipleFieldFilters="0">
  <location ref="B6:I8" firstHeaderRow="0" firstDataRow="1" firstDataCol="1" rowPageCount="3" colPageCount="1"/>
  <pivotFields count="114">
    <pivotField axis="axisPage" subtotalTop="0" showAll="0">
      <items count="13">
        <item m="1" x="10"/>
        <item m="1" x="5"/>
        <item m="1" x="1"/>
        <item m="1" x="3"/>
        <item m="1" x="11"/>
        <item m="1" x="2"/>
        <item m="1" x="9"/>
        <item m="1" x="6"/>
        <item m="1" x="7"/>
        <item m="1" x="8"/>
        <item m="1" x="4"/>
        <item x="0"/>
        <item t="default"/>
      </items>
    </pivotField>
    <pivotField showAll="0" defaultSubtotal="0"/>
    <pivotField showAll="0" defaultSubtotal="0"/>
    <pivotField subtotalTop="0" showAll="0"/>
    <pivotField axis="axisRow" subtotalTop="0" showAll="0">
      <items count="7">
        <item m="1" x="3"/>
        <item m="1" x="4"/>
        <item m="1" x="2"/>
        <item m="1" x="1"/>
        <item x="0"/>
        <item m="1" x="5"/>
        <item t="default"/>
      </items>
    </pivotField>
    <pivotField subtotalTop="0" showAll="0"/>
    <pivotField axis="axisPage" multipleItemSelectionAllowed="1" showAll="0" defaultSubtotal="0">
      <items count="10">
        <item x="0"/>
        <item m="1" x="7"/>
        <item m="1" x="6"/>
        <item h="1" m="1" x="8"/>
        <item h="1" m="1" x="9"/>
        <item h="1" m="1" x="2"/>
        <item h="1" m="1" x="5"/>
        <item h="1" m="1" x="1"/>
        <item h="1" m="1" x="3"/>
        <item h="1" m="1" x="4"/>
      </items>
    </pivotField>
    <pivotField subtotalTop="0" showAll="0"/>
    <pivotField subtotalTop="0" showAll="0"/>
    <pivotField dataField="1" subtotalTop="0" showAll="0"/>
    <pivotField showAll="0" defaultSubtotal="0"/>
    <pivotField showAll="0" defaultSubtotal="0"/>
    <pivotField dataField="1"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dataField="1" showAll="0" defaultSubtotal="0"/>
    <pivotField subtotalTop="0" showAll="0"/>
    <pivotField subtotalTop="0" showAll="0"/>
    <pivotField showAll="0" defaultSubtotal="0"/>
    <pivotField numFmtId="1" subtotalTop="0" showAll="0"/>
    <pivotField subtotalTop="0" showAll="0"/>
    <pivotField numFmtId="9" showAll="0"/>
    <pivotField dataField="1" numFmtId="1" showAll="0" defaultSubtotal="0"/>
    <pivotField showAll="0" defaultSubtotal="0"/>
    <pivotField subtotalTop="0" showAll="0"/>
    <pivotField subtotalTop="0" showAll="0"/>
    <pivotField subtotalTop="0" showAll="0"/>
    <pivotField numFmtId="9" showAll="0" defaultSubtotal="0"/>
    <pivotField dataField="1" numFmtId="1" showAll="0" defaultSubtotal="0"/>
    <pivotField numFmtId="1" showAll="0" defaultSubtotal="0"/>
    <pivotField numFmtId="1" showAll="0" defaultSubtotal="0"/>
    <pivotField dataField="1" numFmtId="1" showAll="0" defaultSubtotal="0"/>
    <pivotField dataField="1"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1"/>
        <item m="1" x="2"/>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2">
    <i>
      <x v="4"/>
    </i>
    <i t="grand">
      <x/>
    </i>
  </rowItems>
  <colFields count="1">
    <field x="-2"/>
  </colFields>
  <colItems count="7">
    <i>
      <x/>
    </i>
    <i i="1">
      <x v="1"/>
    </i>
    <i i="2">
      <x v="2"/>
    </i>
    <i i="3">
      <x v="3"/>
    </i>
    <i i="4">
      <x v="4"/>
    </i>
    <i i="5">
      <x v="5"/>
    </i>
    <i i="6">
      <x v="6"/>
    </i>
  </colItems>
  <pageFields count="3">
    <pageField fld="0" item="11" hier="-1"/>
    <pageField fld="103" item="0" hier="-1"/>
    <pageField fld="6" hier="-1"/>
  </pageFields>
  <dataFields count="7">
    <dataField name="Total Population reached" fld="9" baseField="2" baseItem="0" numFmtId="3"/>
    <dataField name=" HRP1" fld="72" baseField="4" baseItem="0"/>
    <dataField name=" HRP2" fld="79" baseField="0" baseItem="0"/>
    <dataField name=" HRP3" fld="89" baseField="0" baseItem="0"/>
    <dataField name=" # People received regular supply of hygiene items" fld="88" baseField="0" baseItem="0"/>
    <dataField name=" # people reached by regular dedicated hygiene promotion" fld="85" baseField="0" baseItem="0"/>
    <dataField name=" #_students at TLS_CFS" fld="12" baseField="0" baseItem="0"/>
  </dataFields>
  <formats count="46">
    <format dxfId="550">
      <pivotArea field="4" type="button" dataOnly="0" labelOnly="1" outline="0" axis="axisRow" fieldPosition="0"/>
    </format>
    <format dxfId="549">
      <pivotArea type="all" dataOnly="0" outline="0" fieldPosition="0"/>
    </format>
    <format dxfId="548">
      <pivotArea field="4" type="button" dataOnly="0" labelOnly="1" outline="0" axis="axisRow" fieldPosition="0"/>
    </format>
    <format dxfId="547">
      <pivotArea outline="0" fieldPosition="0">
        <references count="1">
          <reference field="4294967294" count="1">
            <x v="0"/>
          </reference>
        </references>
      </pivotArea>
    </format>
    <format dxfId="546">
      <pivotArea dataOnly="0" labelOnly="1" outline="0" fieldPosition="0">
        <references count="1">
          <reference field="4294967294" count="1">
            <x v="0"/>
          </reference>
        </references>
      </pivotArea>
    </format>
    <format dxfId="545">
      <pivotArea type="all" dataOnly="0" outline="0" fieldPosition="0"/>
    </format>
    <format dxfId="544">
      <pivotArea outline="0" collapsedLevelsAreSubtotals="1" fieldPosition="0"/>
    </format>
    <format dxfId="543">
      <pivotArea dataOnly="0" labelOnly="1" fieldPosition="0">
        <references count="1">
          <reference field="4" count="0"/>
        </references>
      </pivotArea>
    </format>
    <format dxfId="542">
      <pivotArea dataOnly="0" labelOnly="1" grandRow="1" outline="0" fieldPosition="0"/>
    </format>
    <format dxfId="541">
      <pivotArea dataOnly="0" labelOnly="1" outline="0" fieldPosition="0">
        <references count="1">
          <reference field="4294967294" count="1">
            <x v="0"/>
          </reference>
        </references>
      </pivotArea>
    </format>
    <format dxfId="540">
      <pivotArea type="all" dataOnly="0" outline="0" fieldPosition="0"/>
    </format>
    <format dxfId="539">
      <pivotArea outline="0" collapsedLevelsAreSubtotals="1" fieldPosition="0"/>
    </format>
    <format dxfId="538">
      <pivotArea dataOnly="0" labelOnly="1" fieldPosition="0">
        <references count="1">
          <reference field="4" count="0"/>
        </references>
      </pivotArea>
    </format>
    <format dxfId="537">
      <pivotArea dataOnly="0" labelOnly="1" grandRow="1" outline="0" fieldPosition="0"/>
    </format>
    <format dxfId="536">
      <pivotArea dataOnly="0" labelOnly="1" outline="0" fieldPosition="0">
        <references count="1">
          <reference field="4294967294" count="1">
            <x v="0"/>
          </reference>
        </references>
      </pivotArea>
    </format>
    <format dxfId="535">
      <pivotArea outline="0" collapsedLevelsAreSubtotals="1" fieldPosition="0"/>
    </format>
    <format dxfId="534">
      <pivotArea outline="0" collapsedLevelsAreSubtotals="1" fieldPosition="0">
        <references count="1">
          <reference field="4294967294" count="1" selected="0">
            <x v="1"/>
          </reference>
        </references>
      </pivotArea>
    </format>
    <format dxfId="533">
      <pivotArea dataOnly="0" labelOnly="1" outline="0" fieldPosition="0">
        <references count="1">
          <reference field="4294967294" count="1">
            <x v="1"/>
          </reference>
        </references>
      </pivotArea>
    </format>
    <format dxfId="532">
      <pivotArea outline="0" collapsedLevelsAreSubtotals="1" fieldPosition="0">
        <references count="1">
          <reference field="4294967294" count="1" selected="0">
            <x v="1"/>
          </reference>
        </references>
      </pivotArea>
    </format>
    <format dxfId="531">
      <pivotArea dataOnly="0" labelOnly="1" outline="0" fieldPosition="0">
        <references count="1">
          <reference field="4294967294" count="1">
            <x v="1"/>
          </reference>
        </references>
      </pivotArea>
    </format>
    <format dxfId="530">
      <pivotArea outline="0" collapsedLevelsAreSubtotals="1" fieldPosition="0">
        <references count="1">
          <reference field="4294967294" count="1" selected="0">
            <x v="2"/>
          </reference>
        </references>
      </pivotArea>
    </format>
    <format dxfId="529">
      <pivotArea dataOnly="0" labelOnly="1" outline="0" fieldPosition="0">
        <references count="1">
          <reference field="4294967294" count="1">
            <x v="2"/>
          </reference>
        </references>
      </pivotArea>
    </format>
    <format dxfId="528">
      <pivotArea outline="0" collapsedLevelsAreSubtotals="1" fieldPosition="0">
        <references count="1">
          <reference field="4294967294" count="1" selected="0">
            <x v="2"/>
          </reference>
        </references>
      </pivotArea>
    </format>
    <format dxfId="527">
      <pivotArea dataOnly="0" labelOnly="1" outline="0" fieldPosition="0">
        <references count="1">
          <reference field="4294967294" count="1">
            <x v="2"/>
          </reference>
        </references>
      </pivotArea>
    </format>
    <format dxfId="526">
      <pivotArea outline="0" collapsedLevelsAreSubtotals="1" fieldPosition="0">
        <references count="1">
          <reference field="4294967294" count="1" selected="0">
            <x v="3"/>
          </reference>
        </references>
      </pivotArea>
    </format>
    <format dxfId="525">
      <pivotArea dataOnly="0" labelOnly="1" outline="0" fieldPosition="0">
        <references count="1">
          <reference field="4294967294" count="1">
            <x v="3"/>
          </reference>
        </references>
      </pivotArea>
    </format>
    <format dxfId="524">
      <pivotArea outline="0" collapsedLevelsAreSubtotals="1" fieldPosition="0">
        <references count="1">
          <reference field="4294967294" count="1" selected="0">
            <x v="3"/>
          </reference>
        </references>
      </pivotArea>
    </format>
    <format dxfId="523">
      <pivotArea dataOnly="0" labelOnly="1" outline="0" fieldPosition="0">
        <references count="1">
          <reference field="4294967294" count="1">
            <x v="3"/>
          </reference>
        </references>
      </pivotArea>
    </format>
    <format dxfId="522">
      <pivotArea outline="0" collapsedLevelsAreSubtotals="1" fieldPosition="0">
        <references count="1">
          <reference field="4294967294" count="1" selected="0">
            <x v="0"/>
          </reference>
        </references>
      </pivotArea>
    </format>
    <format dxfId="521">
      <pivotArea dataOnly="0" labelOnly="1" outline="0" fieldPosition="0">
        <references count="1">
          <reference field="4294967294" count="1">
            <x v="0"/>
          </reference>
        </references>
      </pivotArea>
    </format>
    <format dxfId="520">
      <pivotArea outline="0" collapsedLevelsAreSubtotals="1" fieldPosition="0">
        <references count="1">
          <reference field="4294967294" count="1" selected="0">
            <x v="0"/>
          </reference>
        </references>
      </pivotArea>
    </format>
    <format dxfId="519">
      <pivotArea dataOnly="0" labelOnly="1" outline="0" fieldPosition="0">
        <references count="1">
          <reference field="4294967294" count="1">
            <x v="0"/>
          </reference>
        </references>
      </pivotArea>
    </format>
    <format dxfId="518">
      <pivotArea dataOnly="0" labelOnly="1" outline="0" fieldPosition="0">
        <references count="1">
          <reference field="4294967294" count="4">
            <x v="0"/>
            <x v="1"/>
            <x v="2"/>
            <x v="3"/>
          </reference>
        </references>
      </pivotArea>
    </format>
    <format dxfId="517">
      <pivotArea dataOnly="0" labelOnly="1" outline="0" fieldPosition="0">
        <references count="1">
          <reference field="4294967294" count="5">
            <x v="0"/>
            <x v="1"/>
            <x v="2"/>
            <x v="3"/>
            <x v="6"/>
          </reference>
        </references>
      </pivotArea>
    </format>
    <format dxfId="516">
      <pivotArea dataOnly="0" outline="0" fieldPosition="0">
        <references count="3">
          <reference field="4294967294" count="1">
            <x v="6"/>
          </reference>
          <reference field="0" count="0" selected="0"/>
          <reference field="103" count="1" selected="0">
            <x v="0"/>
          </reference>
        </references>
      </pivotArea>
    </format>
    <format dxfId="515">
      <pivotArea dataOnly="0" outline="0" fieldPosition="0">
        <references count="3">
          <reference field="4294967294" count="1">
            <x v="6"/>
          </reference>
          <reference field="0" count="0" selected="0"/>
          <reference field="103" count="1" selected="0">
            <x v="0"/>
          </reference>
        </references>
      </pivotArea>
    </format>
    <format dxfId="514">
      <pivotArea dataOnly="0" labelOnly="1" outline="0" fieldPosition="0">
        <references count="1">
          <reference field="4294967294" count="1">
            <x v="6"/>
          </reference>
        </references>
      </pivotArea>
    </format>
    <format dxfId="513">
      <pivotArea dataOnly="0" labelOnly="1" outline="0" fieldPosition="0">
        <references count="1">
          <reference field="4294967294" count="1">
            <x v="4"/>
          </reference>
        </references>
      </pivotArea>
    </format>
    <format dxfId="512">
      <pivotArea dataOnly="0" labelOnly="1" outline="0" fieldPosition="0">
        <references count="1">
          <reference field="4294967294" count="1">
            <x v="4"/>
          </reference>
        </references>
      </pivotArea>
    </format>
    <format dxfId="511">
      <pivotArea outline="0" collapsedLevelsAreSubtotals="1" fieldPosition="0">
        <references count="1">
          <reference field="4294967294" count="1" selected="0">
            <x v="4"/>
          </reference>
        </references>
      </pivotArea>
    </format>
    <format dxfId="510">
      <pivotArea dataOnly="0" labelOnly="1" outline="0" fieldPosition="0">
        <references count="1">
          <reference field="4294967294" count="1">
            <x v="5"/>
          </reference>
        </references>
      </pivotArea>
    </format>
    <format dxfId="509">
      <pivotArea collapsedLevelsAreSubtotals="1" fieldPosition="0">
        <references count="2">
          <reference field="4294967294" count="1" selected="0">
            <x v="5"/>
          </reference>
          <reference field="4" count="1">
            <x v="0"/>
          </reference>
        </references>
      </pivotArea>
    </format>
    <format dxfId="508">
      <pivotArea outline="0" collapsedLevelsAreSubtotals="1" fieldPosition="0">
        <references count="1">
          <reference field="4294967294" count="3" selected="0">
            <x v="4"/>
            <x v="5"/>
            <x v="6"/>
          </reference>
        </references>
      </pivotArea>
    </format>
    <format dxfId="507">
      <pivotArea dataOnly="0" labelOnly="1" outline="0" fieldPosition="0">
        <references count="1">
          <reference field="4294967294" count="3">
            <x v="4"/>
            <x v="5"/>
            <x v="6"/>
          </reference>
        </references>
      </pivotArea>
    </format>
    <format dxfId="506">
      <pivotArea outline="0" collapsedLevelsAreSubtotals="1" fieldPosition="0">
        <references count="1">
          <reference field="4294967294" count="3" selected="0">
            <x v="4"/>
            <x v="5"/>
            <x v="6"/>
          </reference>
        </references>
      </pivotArea>
    </format>
    <format dxfId="505">
      <pivotArea dataOnly="0" labelOnly="1" outline="0" fieldPosition="0">
        <references count="1">
          <reference field="4294967294" count="3">
            <x v="4"/>
            <x v="5"/>
            <x v="6"/>
          </reference>
        </references>
      </pivotArea>
    </format>
  </formats>
  <pivotTableStyleInfo name="PivotStyleLight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D853C462-00E2-4219-9B98-11D3A79E532B}" name="PivotTable24"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1">
  <location ref="J243:J244" firstHeaderRow="1" firstDataRow="1" firstDataCol="0" rowPageCount="2" colPageCount="1"/>
  <pivotFields count="114">
    <pivotField axis="axisPage" subtotalTop="0" multipleItemSelectionAllowed="1" showAll="0">
      <items count="13">
        <item h="1" m="1" x="10"/>
        <item m="1" x="3"/>
        <item m="1" x="11"/>
        <item h="1" m="1" x="5"/>
        <item m="1" x="2"/>
        <item h="1" m="1" x="1"/>
        <item h="1" m="1" x="9"/>
        <item h="1" m="1" x="6"/>
        <item h="1" m="1" x="7"/>
        <item m="1" x="8"/>
        <item m="1" x="4"/>
        <item x="0"/>
        <item t="default"/>
      </items>
    </pivotField>
    <pivotField showAll="0" defaultSubtotal="0"/>
    <pivotField showAll="0" defaultSubtotal="0"/>
    <pivotField subtotalTop="0" showAll="0"/>
    <pivotField subtotalTop="0" showAll="0">
      <items count="7">
        <item m="1" x="3"/>
        <item m="1" x="4"/>
        <item m="1" x="2"/>
        <item m="1" x="1"/>
        <item x="0"/>
        <item m="1" x="5"/>
        <item t="default"/>
      </items>
    </pivotField>
    <pivotField subtotalTop="0" showAll="0"/>
    <pivotField multipleItemSelectionAllowed="1" showAll="0" defaultSubtotal="0"/>
    <pivotField subtotalTop="0" showAll="0"/>
    <pivotField subtotalTop="0" showAll="0"/>
    <pivotField dataField="1"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Items count="1">
    <i/>
  </colItems>
  <pageFields count="2">
    <pageField fld="0" hier="-1"/>
    <pageField fld="103" item="0" hier="-1"/>
  </pageFields>
  <dataFields count="1">
    <dataField name="Sum of Total PoP " fld="9" baseField="0" baseItem="0"/>
  </dataFields>
  <formats count="10">
    <format dxfId="250">
      <pivotArea type="all" dataOnly="0" outline="0" fieldPosition="0"/>
    </format>
    <format dxfId="249">
      <pivotArea type="all" dataOnly="0" outline="0" fieldPosition="0"/>
    </format>
    <format dxfId="248">
      <pivotArea outline="0" collapsedLevelsAreSubtotals="1" fieldPosition="0"/>
    </format>
    <format dxfId="247">
      <pivotArea field="4" type="button" dataOnly="0" labelOnly="1" outline="0"/>
    </format>
    <format dxfId="246">
      <pivotArea dataOnly="0" labelOnly="1" grandRow="1" outline="0" fieldPosition="0"/>
    </format>
    <format dxfId="245">
      <pivotArea type="all" dataOnly="0" outline="0" fieldPosition="0"/>
    </format>
    <format dxfId="244">
      <pivotArea outline="0" collapsedLevelsAreSubtotals="1" fieldPosition="0"/>
    </format>
    <format dxfId="243">
      <pivotArea field="4" type="button" dataOnly="0" labelOnly="1" outline="0"/>
    </format>
    <format dxfId="242">
      <pivotArea dataOnly="0" labelOnly="1" grandRow="1" outline="0" fieldPosition="0"/>
    </format>
    <format dxfId="241">
      <pivotArea outline="0" collapsedLevelsAreSubtotals="1"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800-000025000000}" name="water_test"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21" rowHeaderCaption="State">
  <location ref="B44:F46" firstHeaderRow="0" firstDataRow="1" firstDataCol="1" rowPageCount="3" colPageCount="1"/>
  <pivotFields count="114">
    <pivotField axis="axisPage" subtotalTop="0" multipleItemSelectionAllowed="1" showAll="0">
      <items count="13">
        <item m="1" x="10"/>
        <item m="1" x="3"/>
        <item h="1" m="1" x="5"/>
        <item h="1" m="1" x="1"/>
        <item m="1" x="11"/>
        <item m="1" x="2"/>
        <item h="1" m="1" x="9"/>
        <item h="1" m="1" x="6"/>
        <item h="1" m="1" x="7"/>
        <item m="1" x="8"/>
        <item m="1" x="4"/>
        <item x="0"/>
        <item t="default"/>
      </items>
    </pivotField>
    <pivotField showAll="0" defaultSubtotal="0"/>
    <pivotField showAll="0" defaultSubtotal="0"/>
    <pivotField subtotalTop="0" showAll="0"/>
    <pivotField axis="axisRow" subtotalTop="0" showAll="0">
      <items count="7">
        <item m="1" x="3"/>
        <item m="1" x="4"/>
        <item m="1" x="2"/>
        <item m="1" x="1"/>
        <item x="0"/>
        <item m="1" x="5"/>
        <item t="default"/>
      </items>
    </pivotField>
    <pivotField subtotalTop="0" showAll="0"/>
    <pivotField axis="axisPage" multipleItemSelectionAllowed="1" showAll="0" defaultSubtotal="0">
      <items count="10">
        <item x="0"/>
        <item m="1" x="7"/>
        <item m="1" x="6"/>
        <item m="1" x="2"/>
        <item m="1" x="1"/>
        <item h="1" m="1" x="8"/>
        <item m="1" x="5"/>
        <item h="1" m="1" x="9"/>
        <item m="1" x="3"/>
        <item h="1" m="1" x="4"/>
      </items>
    </pivotField>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2">
    <i>
      <x v="4"/>
    </i>
    <i t="grand">
      <x/>
    </i>
  </rowItems>
  <colFields count="1">
    <field x="-2"/>
  </colFields>
  <colItems count="4">
    <i>
      <x/>
    </i>
    <i i="1">
      <x v="1"/>
    </i>
    <i i="2">
      <x v="2"/>
    </i>
    <i i="3">
      <x v="3"/>
    </i>
  </colItems>
  <pageFields count="3">
    <pageField fld="0" hier="-1"/>
    <pageField fld="103" hier="-1"/>
    <pageField fld="6" hier="-1"/>
  </pageFields>
  <dataFields count="4">
    <dataField name="Count of Site Name" fld="7" subtotal="count" baseField="0" baseItem="0"/>
    <dataField name="Count of #_Water samples_Tested_at_water_source" fld="23" subtotal="count" baseField="0" baseItem="0"/>
    <dataField name="Sum of #_Water samples_Tested_at_water_source2" fld="23" baseField="4" baseItem="4"/>
    <dataField name="Sum of #_Water samples _passed_at_water source" fld="24" baseField="4" baseItem="4"/>
  </dataFields>
  <formats count="14">
    <format dxfId="264">
      <pivotArea field="4" type="button" dataOnly="0" labelOnly="1" outline="0" axis="axisRow" fieldPosition="0"/>
    </format>
    <format dxfId="263">
      <pivotArea dataOnly="0" labelOnly="1" outline="0" fieldPosition="0">
        <references count="1">
          <reference field="4294967294" count="1">
            <x v="0"/>
          </reference>
        </references>
      </pivotArea>
    </format>
    <format dxfId="262">
      <pivotArea type="all" dataOnly="0" outline="0" fieldPosition="0"/>
    </format>
    <format dxfId="261">
      <pivotArea outline="0" collapsedLevelsAreSubtotals="1" fieldPosition="0"/>
    </format>
    <format dxfId="260">
      <pivotArea field="4" type="button" dataOnly="0" labelOnly="1" outline="0" axis="axisRow" fieldPosition="0"/>
    </format>
    <format dxfId="259">
      <pivotArea dataOnly="0" labelOnly="1" fieldPosition="0">
        <references count="1">
          <reference field="4" count="0"/>
        </references>
      </pivotArea>
    </format>
    <format dxfId="258">
      <pivotArea dataOnly="0" labelOnly="1" outline="0" fieldPosition="0">
        <references count="1">
          <reference field="4294967294" count="1">
            <x v="0"/>
          </reference>
        </references>
      </pivotArea>
    </format>
    <format dxfId="257">
      <pivotArea type="all" dataOnly="0" outline="0" fieldPosition="0"/>
    </format>
    <format dxfId="256">
      <pivotArea type="all" dataOnly="0" outline="0" fieldPosition="0"/>
    </format>
    <format dxfId="255">
      <pivotArea outline="0" collapsedLevelsAreSubtotals="1" fieldPosition="0"/>
    </format>
    <format dxfId="254">
      <pivotArea field="4" type="button" dataOnly="0" labelOnly="1" outline="0" axis="axisRow" fieldPosition="0"/>
    </format>
    <format dxfId="253">
      <pivotArea dataOnly="0" labelOnly="1" fieldPosition="0">
        <references count="1">
          <reference field="4" count="0"/>
        </references>
      </pivotArea>
    </format>
    <format dxfId="252">
      <pivotArea dataOnly="0" labelOnly="1" outline="0" fieldPosition="0">
        <references count="1">
          <reference field="4294967294" count="1">
            <x v="0"/>
          </reference>
        </references>
      </pivotArea>
    </format>
    <format dxfId="251">
      <pivotArea dataOnly="0" labelOnly="1" outline="0" fieldPosition="0">
        <references count="1">
          <reference field="4294967294" count="1">
            <x v="0"/>
          </reference>
        </references>
      </pivotArea>
    </format>
  </formats>
  <chartFormats count="2">
    <chartFormat chart="11" format="2" series="1">
      <pivotArea type="data" outline="0" fieldPosition="0">
        <references count="1">
          <reference field="4294967294" count="1" selected="0">
            <x v="0"/>
          </reference>
        </references>
      </pivotArea>
    </chartFormat>
    <chartFormat chart="20" format="2" series="1">
      <pivotArea type="data" outline="0" fieldPosition="0">
        <references count="1">
          <reference field="4294967294" count="1" selected="0">
            <x v="0"/>
          </reference>
        </references>
      </pivotArea>
    </chartFormat>
  </chart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800-000003000000}" name="K_H_CG_C"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3" rowHeaderCaption="State" colHeaderCaption=" ">
  <location ref="B216:D221" firstHeaderRow="0" firstDataRow="1" firstDataCol="1" rowPageCount="3" colPageCount="1"/>
  <pivotFields count="114">
    <pivotField axis="axisPage" subtotalTop="0" multipleItemSelectionAllowed="1" showAll="0">
      <items count="13">
        <item m="1" x="10"/>
        <item m="1" x="3"/>
        <item h="1" m="1" x="5"/>
        <item h="1" m="1" x="1"/>
        <item m="1" x="11"/>
        <item m="1" x="2"/>
        <item h="1" m="1" x="9"/>
        <item h="1" m="1" x="6"/>
        <item h="1" m="1" x="7"/>
        <item m="1" x="8"/>
        <item m="1" x="4"/>
        <item x="0"/>
        <item t="default"/>
      </items>
    </pivotField>
    <pivotField showAll="0" defaultSubtotal="0"/>
    <pivotField showAll="0" defaultSubtotal="0"/>
    <pivotField subtotalTop="0" showAll="0"/>
    <pivotField axis="axisPage" subtotalTop="0" showAll="0">
      <items count="7">
        <item m="1" x="3"/>
        <item m="1" x="4"/>
        <item m="1" x="2"/>
        <item m="1" x="1"/>
        <item x="0"/>
        <item m="1" x="5"/>
        <item t="default"/>
      </items>
    </pivotField>
    <pivotField axis="axisRow" subtotalTop="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17"/>
        <item m="1" x="21"/>
        <item m="1" x="27"/>
        <item m="1" x="10"/>
        <item x="0"/>
        <item m="1" x="28"/>
        <item m="1" x="18"/>
        <item m="1" x="38"/>
        <item m="1" x="32"/>
        <item m="1" x="39"/>
        <item x="1"/>
        <item m="1" x="40"/>
        <item m="1" x="37"/>
        <item m="1" x="34"/>
        <item m="1" x="6"/>
        <item m="1" x="8"/>
        <item m="1" x="5"/>
        <item m="1" x="19"/>
        <item t="default"/>
      </items>
    </pivotField>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5">
    <i>
      <x v="8"/>
    </i>
    <i>
      <x v="9"/>
    </i>
    <i>
      <x v="21"/>
    </i>
    <i>
      <x v="27"/>
    </i>
    <i>
      <x v="33"/>
    </i>
  </rowItems>
  <colFields count="1">
    <field x="-2"/>
  </colFields>
  <colItems count="2">
    <i>
      <x/>
    </i>
    <i i="1">
      <x v="1"/>
    </i>
  </colItems>
  <pageFields count="3">
    <pageField fld="0" hier="-1"/>
    <pageField fld="103" item="0" hier="-1"/>
    <pageField fld="4" item="4" hier="-1"/>
  </pageFields>
  <dataFields count="2">
    <dataField name="  % Hygiene Coverage" fld="109" baseField="0" baseItem="0" numFmtId="1"/>
    <dataField name="  % Hygiene Gap" fld="108" baseField="0" baseItem="0" numFmtId="1"/>
  </dataFields>
  <formats count="11">
    <format dxfId="275">
      <pivotArea type="all" dataOnly="0" outline="0" fieldPosition="0"/>
    </format>
    <format dxfId="274">
      <pivotArea outline="0" collapsedLevelsAreSubtotals="1" fieldPosition="0"/>
    </format>
    <format dxfId="273">
      <pivotArea field="4" type="button" dataOnly="0" labelOnly="1" outline="0" axis="axisPage" fieldPosition="2"/>
    </format>
    <format dxfId="272">
      <pivotArea type="all" dataOnly="0" outline="0" fieldPosition="0"/>
    </format>
    <format dxfId="271">
      <pivotArea outline="0" collapsedLevelsAreSubtotals="1" fieldPosition="0"/>
    </format>
    <format dxfId="270">
      <pivotArea outline="0" collapsedLevelsAreSubtotals="1" fieldPosition="0"/>
    </format>
    <format dxfId="269">
      <pivotArea field="5" type="button" dataOnly="0" labelOnly="1" outline="0" axis="axisRow" fieldPosition="0"/>
    </format>
    <format dxfId="268">
      <pivotArea field="5" type="button" dataOnly="0" labelOnly="1" outline="0" axis="axisRow" fieldPosition="0"/>
    </format>
    <format dxfId="267">
      <pivotArea field="5" type="button" dataOnly="0" labelOnly="1" outline="0" axis="axisRow" fieldPosition="0"/>
    </format>
    <format dxfId="266">
      <pivotArea field="4" type="button" dataOnly="0" labelOnly="1" outline="0" axis="axisPage" fieldPosition="2"/>
    </format>
    <format dxfId="265">
      <pivotArea dataOnly="0" labelOnly="1" outline="0" fieldPosition="0">
        <references count="2">
          <reference field="4" count="1">
            <x v="0"/>
          </reference>
          <reference field="103" count="1" selected="0">
            <x v="0"/>
          </reference>
        </references>
      </pivotArea>
    </format>
  </formats>
  <chartFormats count="2">
    <chartFormat chart="39" format="2" series="1">
      <pivotArea type="data" outline="0" fieldPosition="0">
        <references count="1">
          <reference field="4294967294" count="1" selected="0">
            <x v="0"/>
          </reference>
        </references>
      </pivotArea>
    </chartFormat>
    <chartFormat chart="39" format="3" series="1">
      <pivotArea type="data" outline="0" fieldPosition="0">
        <references count="1">
          <reference field="4294967294" count="1" selected="0">
            <x v="1"/>
          </reference>
        </references>
      </pivotArea>
    </chartFormat>
  </chartFormats>
  <pivotTableStyleInfo name="PivotStyleMedium14"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800-00000B000000}" name="Latrine_shan"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9">
  <location ref="S97:T99" firstHeaderRow="1" firstDataRow="2" firstDataCol="1" rowPageCount="3" colPageCount="1"/>
  <pivotFields count="114">
    <pivotField axis="axisPage" subtotalTop="0" multipleItemSelectionAllowed="1" showAll="0">
      <items count="13">
        <item m="1" x="10"/>
        <item m="1" x="3"/>
        <item m="1" x="11"/>
        <item h="1" m="1" x="5"/>
        <item m="1" x="2"/>
        <item h="1" m="1" x="1"/>
        <item h="1" m="1" x="9"/>
        <item h="1" m="1" x="6"/>
        <item h="1" m="1" x="7"/>
        <item m="1" x="8"/>
        <item m="1" x="4"/>
        <item h="1" x="0"/>
        <item t="default"/>
      </items>
    </pivotField>
    <pivotField showAll="0" defaultSubtotal="0"/>
    <pivotField showAll="0" defaultSubtotal="0"/>
    <pivotField subtotalTop="0" showAll="0"/>
    <pivotField axis="axisPage" subtotalTop="0" multipleItemSelectionAllowed="1" showAll="0">
      <items count="7">
        <item h="1" m="1" x="3"/>
        <item h="1" m="1" x="4"/>
        <item m="1" x="2"/>
        <item m="1" x="1"/>
        <item h="1" x="0"/>
        <item h="1" m="1" x="5"/>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dataField="1"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axis="axisCol" subtotalTop="0" showAll="0">
      <items count="341">
        <item m="1" x="1"/>
        <item h="1" m="1" x="185"/>
        <item h="1" m="1" x="208"/>
        <item h="1" m="1" x="339"/>
        <item h="1" m="1" x="289"/>
        <item h="1" m="1" x="179"/>
        <item h="1" m="1" x="167"/>
        <item h="1" m="1" x="126"/>
        <item h="1" m="1" x="288"/>
        <item h="1" m="1" x="125"/>
        <item h="1" m="1" x="12"/>
        <item h="1" m="1" x="273"/>
        <item h="1" m="1" x="23"/>
        <item h="1" m="1" x="118"/>
        <item h="1" m="1" x="302"/>
        <item h="1" m="1" x="96"/>
        <item h="1" m="1" x="274"/>
        <item h="1" m="1" x="295"/>
        <item h="1" m="1" x="103"/>
        <item h="1" m="1" x="217"/>
        <item h="1" m="1" x="79"/>
        <item h="1" m="1" x="117"/>
        <item h="1" m="1" x="19"/>
        <item h="1" m="1" x="203"/>
        <item h="1" m="1" x="113"/>
        <item h="1" m="1" x="137"/>
        <item h="1" m="1" x="24"/>
        <item h="1" m="1" x="164"/>
        <item h="1" m="1" x="211"/>
        <item h="1" m="1" x="145"/>
        <item h="1" m="1" x="223"/>
        <item h="1" m="1" x="170"/>
        <item h="1" m="1" x="106"/>
        <item h="1" m="1" x="25"/>
        <item h="1" m="1" x="144"/>
        <item h="1" m="1" x="49"/>
        <item h="1" m="1" x="262"/>
        <item h="1" m="1" x="243"/>
        <item h="1" m="1" x="212"/>
        <item h="1" m="1" x="58"/>
        <item h="1" m="1" x="107"/>
        <item h="1" m="1" x="127"/>
        <item h="1" m="1" x="271"/>
        <item h="1" m="1" x="323"/>
        <item h="1" m="1" x="114"/>
        <item h="1" m="1" x="57"/>
        <item h="1" m="1" x="71"/>
        <item h="1" m="1" x="169"/>
        <item h="1" m="1" x="306"/>
        <item h="1" m="1" x="336"/>
        <item h="1" m="1" x="272"/>
        <item h="1" m="1" x="47"/>
        <item h="1" m="1" x="293"/>
        <item h="1" m="1" x="42"/>
        <item h="1" m="1" x="59"/>
        <item h="1" m="1" x="216"/>
        <item h="1" m="1" x="209"/>
        <item h="1" m="1" x="48"/>
        <item h="1" m="1" x="85"/>
        <item h="1" m="1" x="128"/>
        <item h="1" m="1" x="236"/>
        <item h="1" m="1" x="252"/>
        <item h="1" m="1" x="115"/>
        <item h="1" m="1" x="83"/>
        <item h="1" m="1" x="210"/>
        <item h="1" m="1" x="35"/>
        <item h="1" m="1" x="45"/>
        <item h="1" m="1" x="250"/>
        <item h="1" m="1" x="317"/>
        <item h="1" m="1" x="70"/>
        <item h="1" m="1" x="322"/>
        <item h="1" m="1" x="132"/>
        <item h="1" m="1" x="72"/>
        <item h="1" m="1" x="7"/>
        <item h="1" m="1" x="92"/>
        <item h="1" m="1" x="226"/>
        <item h="1" m="1" x="154"/>
        <item h="1" m="1" x="110"/>
        <item h="1" m="1" x="294"/>
        <item h="1" m="1" x="194"/>
        <item h="1" m="1" x="178"/>
        <item h="1" m="1" x="109"/>
        <item h="1" m="1" x="326"/>
        <item h="1" m="1" x="245"/>
        <item h="1" m="1" x="201"/>
        <item h="1" m="1" x="8"/>
        <item h="1" m="1" x="102"/>
        <item h="1" m="1" x="276"/>
        <item h="1" m="1" x="38"/>
        <item h="1" m="1" x="253"/>
        <item h="1" m="1" x="305"/>
        <item h="1" m="1" x="248"/>
        <item h="1" m="1" x="28"/>
        <item h="1" m="1" x="84"/>
        <item h="1" m="1" x="286"/>
        <item h="1" m="1" x="180"/>
        <item h="1" m="1" x="318"/>
        <item h="1" m="1" x="18"/>
        <item h="1" m="1" x="259"/>
        <item h="1" m="1" x="124"/>
        <item h="1" m="1" x="310"/>
        <item h="1" m="1" x="73"/>
        <item h="1" m="1" x="235"/>
        <item h="1" m="1" x="319"/>
        <item h="1" m="1" x="186"/>
        <item h="1" m="1" x="195"/>
        <item h="1" m="1" x="97"/>
        <item h="1" m="1" x="119"/>
        <item h="1" m="1" x="95"/>
        <item h="1" m="1" x="11"/>
        <item h="1" m="1" x="78"/>
        <item h="1" m="1" x="275"/>
        <item h="1" m="1" x="182"/>
        <item h="1" m="1" x="161"/>
        <item h="1" m="1" x="290"/>
        <item h="1" m="1" x="13"/>
        <item h="1" m="1" x="108"/>
        <item h="1" m="1" x="168"/>
        <item h="1" m="1" x="160"/>
        <item h="1" m="1" x="242"/>
        <item h="1" m="1" x="285"/>
        <item h="1" m="1" x="202"/>
        <item h="1" m="1" x="138"/>
        <item h="1" m="1" x="74"/>
        <item h="1" m="1" x="205"/>
        <item h="1" m="1" x="9"/>
        <item h="1" m="1" x="281"/>
        <item h="1" m="1" x="324"/>
        <item h="1" m="1" x="139"/>
        <item h="1" m="1" x="140"/>
        <item h="1" m="1" x="165"/>
        <item h="1" m="1" x="327"/>
        <item h="1" m="1" x="52"/>
        <item h="1" m="1" x="80"/>
        <item h="1" m="1" x="86"/>
        <item h="1" m="1" x="261"/>
        <item h="1" m="1" x="291"/>
        <item h="1" m="1" x="337"/>
        <item h="1" m="1" x="104"/>
        <item h="1" m="1" x="282"/>
        <item h="1" m="1" x="220"/>
        <item h="1" m="1" x="98"/>
        <item h="1" m="1" x="232"/>
        <item h="1" m="1" x="307"/>
        <item h="1" m="1" x="237"/>
        <item h="1" m="1" x="196"/>
        <item h="1" m="1" x="134"/>
        <item h="1" m="1" x="332"/>
        <item h="1" m="1" x="146"/>
        <item h="1" m="1" x="315"/>
        <item h="1" m="1" x="278"/>
        <item h="1" m="1" x="192"/>
        <item h="1" m="1" x="265"/>
        <item h="1" m="1" x="136"/>
        <item h="1" m="1" x="150"/>
        <item h="1" m="1" x="316"/>
        <item h="1" m="1" x="26"/>
        <item h="1" m="1" x="36"/>
        <item h="1" m="1" x="268"/>
        <item h="1" m="1" x="240"/>
        <item h="1" m="1" x="297"/>
        <item h="1" m="1" x="22"/>
        <item h="1" m="1" x="40"/>
        <item h="1" m="1" x="61"/>
        <item h="1" m="1" x="142"/>
        <item h="1" m="1" x="191"/>
        <item h="1" m="1" x="269"/>
        <item h="1" m="1" x="158"/>
        <item h="1" m="1" x="77"/>
        <item h="1" m="1" x="3"/>
        <item h="1" m="1" x="230"/>
        <item h="1" m="1" x="270"/>
        <item h="1" m="1" x="152"/>
        <item h="1" m="1" x="159"/>
        <item h="1" m="1" x="81"/>
        <item h="1" m="1" x="122"/>
        <item h="1" m="1" x="60"/>
        <item h="1" m="1" x="151"/>
        <item h="1" m="1" x="314"/>
        <item h="1" m="1" x="183"/>
        <item h="1" m="1" x="15"/>
        <item h="1" m="1" x="299"/>
        <item h="1" m="1" x="149"/>
        <item h="1" m="1" x="105"/>
        <item h="1" m="1" x="67"/>
        <item h="1" m="1" x="225"/>
        <item h="1" m="1" x="300"/>
        <item h="1" m="1" x="82"/>
        <item h="1" m="1" x="143"/>
        <item h="1" m="1" x="33"/>
        <item h="1" m="1" x="148"/>
        <item h="1" m="1" x="229"/>
        <item h="1" m="1" x="264"/>
        <item h="1" m="1" x="335"/>
        <item h="1" m="1" x="112"/>
        <item h="1" m="1" x="222"/>
        <item h="1" m="1" x="37"/>
        <item h="1" m="1" x="304"/>
        <item h="1" m="1" x="280"/>
        <item h="1" m="1" x="157"/>
        <item h="1" m="1" x="50"/>
        <item h="1" m="1" x="90"/>
        <item h="1" m="1" x="279"/>
        <item h="1" m="1" x="199"/>
        <item h="1" m="1" x="131"/>
        <item h="1" m="1" x="283"/>
        <item h="1" m="1" x="75"/>
        <item h="1" m="1" x="32"/>
        <item h="1" m="1" x="198"/>
        <item h="1" m="1" x="43"/>
        <item h="1" m="1" x="309"/>
        <item h="1" m="1" x="287"/>
        <item h="1" m="1" x="155"/>
        <item h="1" m="1" x="334"/>
        <item h="1" m="1" x="303"/>
        <item h="1" m="1" x="298"/>
        <item h="1" m="1" x="241"/>
        <item h="1" m="1" x="116"/>
        <item h="1" m="1" x="120"/>
        <item h="1" m="1" x="333"/>
        <item h="1" m="1" x="214"/>
        <item h="1" m="1" x="338"/>
        <item h="1" m="1" x="321"/>
        <item h="1" m="1" x="206"/>
        <item h="1" m="1" x="313"/>
        <item h="1" m="1" x="10"/>
        <item h="1" m="1" x="39"/>
        <item h="1" m="1" x="292"/>
        <item h="1" m="1" x="21"/>
        <item h="1" m="1" x="93"/>
        <item h="1" m="1" x="130"/>
        <item h="1" m="1" x="233"/>
        <item h="1" m="1" x="207"/>
        <item h="1" m="1" x="163"/>
        <item h="1" m="1" x="5"/>
        <item h="1" m="1" x="260"/>
        <item h="1" m="1" x="189"/>
        <item h="1" m="1" x="111"/>
        <item h="1" m="1" x="284"/>
        <item h="1" m="1" x="99"/>
        <item h="1" m="1" x="89"/>
        <item h="1" m="1" x="224"/>
        <item h="1" m="1" x="228"/>
        <item h="1" m="1" x="256"/>
        <item h="1" m="1" x="330"/>
        <item h="1" m="1" x="44"/>
        <item h="1" m="1" x="239"/>
        <item h="1" m="1" x="231"/>
        <item h="1" m="1" x="76"/>
        <item h="1" m="1" x="176"/>
        <item h="1" m="1" x="121"/>
        <item h="1" m="1" x="123"/>
        <item h="1" m="1" x="247"/>
        <item h="1" m="1" x="31"/>
        <item h="1" m="1" x="255"/>
        <item h="1" m="1" x="249"/>
        <item h="1" m="1" x="227"/>
        <item h="1" m="1" x="64"/>
        <item h="1" m="1" x="277"/>
        <item h="1" m="1" x="328"/>
        <item h="1" m="1" x="171"/>
        <item h="1" m="1" x="20"/>
        <item h="1" m="1" x="221"/>
        <item h="1" m="1" x="66"/>
        <item h="1" m="1" x="254"/>
        <item h="1" m="1" x="263"/>
        <item h="1" m="1" x="88"/>
        <item h="1" m="1" x="54"/>
        <item h="1" m="1" x="238"/>
        <item h="1" m="1" x="246"/>
        <item h="1" m="1" x="141"/>
        <item h="1" m="1" x="147"/>
        <item h="1" m="1" x="187"/>
        <item h="1" m="1" x="215"/>
        <item h="1" m="1" x="87"/>
        <item h="1" m="1" x="175"/>
        <item h="1" m="1" x="4"/>
        <item h="1" m="1" x="27"/>
        <item h="1" m="1" x="63"/>
        <item h="1" m="1" x="162"/>
        <item h="1" m="1" x="53"/>
        <item h="1" m="1" x="197"/>
        <item h="1" m="1" x="325"/>
        <item h="1" m="1" x="188"/>
        <item h="1" m="1" x="296"/>
        <item h="1" m="1" x="129"/>
        <item h="1" m="1" x="312"/>
        <item h="1" m="1" x="174"/>
        <item h="1" m="1" x="308"/>
        <item h="1" m="1" x="311"/>
        <item h="1" m="1" x="173"/>
        <item h="1" m="1" x="2"/>
        <item h="1" m="1" x="65"/>
        <item h="1" m="1" x="30"/>
        <item h="1" m="1" x="135"/>
        <item h="1" m="1" x="172"/>
        <item h="1" m="1" x="219"/>
        <item h="1" m="1" x="267"/>
        <item h="1" m="1" x="213"/>
        <item h="1" m="1" x="320"/>
        <item h="1" m="1" x="14"/>
        <item h="1" m="1" x="62"/>
        <item h="1" m="1" x="166"/>
        <item h="1" m="1" x="266"/>
        <item h="1" m="1" x="46"/>
        <item h="1" m="1" x="51"/>
        <item h="1" m="1" x="153"/>
        <item h="1" m="1" x="17"/>
        <item h="1" m="1" x="91"/>
        <item h="1" m="1" x="34"/>
        <item h="1" m="1" x="68"/>
        <item h="1" m="1" x="41"/>
        <item h="1" m="1" x="55"/>
        <item h="1" m="1" x="190"/>
        <item h="1" m="1" x="181"/>
        <item h="1" m="1" x="156"/>
        <item h="1" m="1" x="258"/>
        <item h="1" m="1" x="16"/>
        <item h="1" m="1" x="184"/>
        <item h="1" m="1" x="200"/>
        <item h="1" m="1" x="301"/>
        <item h="1" m="1" x="100"/>
        <item h="1" m="1" x="101"/>
        <item h="1" m="1" x="193"/>
        <item h="1" m="1" x="56"/>
        <item h="1" m="1" x="94"/>
        <item h="1" m="1" x="6"/>
        <item h="1" m="1" x="234"/>
        <item h="1" m="1" x="257"/>
        <item h="1" m="1" x="251"/>
        <item h="1" m="1" x="331"/>
        <item h="1" m="1" x="329"/>
        <item h="1" m="1" x="69"/>
        <item h="1" m="1" x="177"/>
        <item h="1" m="1" x="204"/>
        <item h="1" m="1" x="244"/>
        <item h="1" m="1" x="218"/>
        <item h="1" m="1" x="133"/>
        <item h="1" m="1" x="29"/>
        <item h="1" x="0"/>
        <item t="default"/>
      </items>
    </pivotField>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99"/>
  </colFields>
  <pageFields count="3">
    <pageField fld="0" hier="-1"/>
    <pageField fld="4" hier="-1"/>
    <pageField fld="103" hier="-1"/>
  </pageFields>
  <dataFields count="1">
    <dataField name="# latrines (target)" fld="81" baseField="0" baseItem="0"/>
  </dataFields>
  <formats count="10">
    <format dxfId="285">
      <pivotArea field="4" type="button" dataOnly="0" labelOnly="1" outline="0" axis="axisPage" fieldPosition="1"/>
    </format>
    <format dxfId="284">
      <pivotArea type="all" dataOnly="0" outline="0" fieldPosition="0"/>
    </format>
    <format dxfId="283">
      <pivotArea outline="0" collapsedLevelsAreSubtotals="1" fieldPosition="0"/>
    </format>
    <format dxfId="282">
      <pivotArea type="origin" dataOnly="0" labelOnly="1" outline="0" fieldPosition="0"/>
    </format>
    <format dxfId="281">
      <pivotArea type="topRight" dataOnly="0" labelOnly="1" outline="0" fieldPosition="0"/>
    </format>
    <format dxfId="280">
      <pivotArea field="-2" type="button" dataOnly="0" labelOnly="1" outline="0" axis="axisValues" fieldPosition="0"/>
    </format>
    <format dxfId="279">
      <pivotArea type="all" dataOnly="0" outline="0" fieldPosition="0"/>
    </format>
    <format dxfId="278">
      <pivotArea dataOnly="0" labelOnly="1" outline="0" fieldPosition="0">
        <references count="1">
          <reference field="4294967294" count="1">
            <x v="0"/>
          </reference>
        </references>
      </pivotArea>
    </format>
    <format dxfId="277">
      <pivotArea field="4" type="button" dataOnly="0" labelOnly="1" outline="0" axis="axisPage" fieldPosition="1"/>
    </format>
    <format dxfId="276">
      <pivotArea dataOnly="0" labelOnly="1" outline="0" fieldPosition="0">
        <references count="1">
          <reference field="4" count="0"/>
        </references>
      </pivotArea>
    </format>
  </formats>
  <pivotTableStyleInfo name="PivotStyleLight10 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B27934B2-3BAC-4209-B257-4020525EEC2E}" name="PivotTable9"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State">
  <location ref="K127:L128" firstHeaderRow="0" firstDataRow="1" firstDataCol="0" rowPageCount="2" colPageCount="1"/>
  <pivotFields count="114">
    <pivotField axis="axisPage" subtotalTop="0" multipleItemSelectionAllowed="1" showAll="0">
      <items count="13">
        <item m="1" x="10"/>
        <item m="1" x="3"/>
        <item m="1" x="11"/>
        <item h="1" m="1" x="5"/>
        <item m="1" x="2"/>
        <item h="1" m="1" x="1"/>
        <item h="1" m="1" x="9"/>
        <item h="1" m="1" x="6"/>
        <item h="1" m="1" x="7"/>
        <item m="1" x="8"/>
        <item m="1" x="4"/>
        <item x="0"/>
        <item t="default"/>
      </items>
    </pivotField>
    <pivotField showAll="0" defaultSubtotal="0"/>
    <pivotField showAll="0" defaultSubtotal="0"/>
    <pivotField subtotalTop="0" showAll="0"/>
    <pivotField subtotalTop="0" showAll="0">
      <items count="7">
        <item m="1" x="3"/>
        <item m="1" x="4"/>
        <item m="1" x="2"/>
        <item h="1" m="1" x="1"/>
        <item x="0"/>
        <item m="1" x="5"/>
        <item t="default"/>
      </items>
    </pivotField>
    <pivotField subtotalTop="0" showAll="0"/>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sortType="descending"/>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dataField="1"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2">
    <i>
      <x/>
    </i>
    <i i="1">
      <x v="1"/>
    </i>
  </colItems>
  <pageFields count="2">
    <pageField fld="0" hier="-1"/>
    <pageField fld="103" item="0" hier="-1"/>
  </pageFields>
  <dataFields count="2">
    <dataField name="Sum of # of Total_People with disabilities" fld="106" baseField="0" baseItem="0"/>
    <dataField name="Sum of #_of_PWD_with_adapted_sanitation_option" fld="41" baseField="0" baseItem="0"/>
  </dataFields>
  <formats count="9">
    <format dxfId="294">
      <pivotArea type="all" dataOnly="0" outline="0" fieldPosition="0"/>
    </format>
    <format dxfId="293">
      <pivotArea outline="0" collapsedLevelsAreSubtotals="1" fieldPosition="0"/>
    </format>
    <format dxfId="292">
      <pivotArea type="origin" dataOnly="0" labelOnly="1" outline="0" fieldPosition="0"/>
    </format>
    <format dxfId="291">
      <pivotArea type="topRight" dataOnly="0" labelOnly="1" outline="0" fieldPosition="0"/>
    </format>
    <format dxfId="290">
      <pivotArea field="4" type="button" dataOnly="0" labelOnly="1" outline="0"/>
    </format>
    <format dxfId="289">
      <pivotArea dataOnly="0" labelOnly="1" grandRow="1" outline="0" fieldPosition="0"/>
    </format>
    <format dxfId="288">
      <pivotArea dataOnly="0" labelOnly="1" grandCol="1" outline="0" fieldPosition="0"/>
    </format>
    <format dxfId="287">
      <pivotArea type="all" dataOnly="0" outline="0" fieldPosition="0"/>
    </format>
    <format dxfId="286">
      <pivotArea outline="0" collapsedLevelsAreSubtotals="1" fieldPosition="0"/>
    </format>
  </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800-000017000000}" name="R_Traffic" cacheId="0"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Township">
  <location ref="B10:F16" firstHeaderRow="0" firstDataRow="1" firstDataCol="1" rowPageCount="4" colPageCount="1"/>
  <pivotFields count="114">
    <pivotField axis="axisPage" subtotalTop="0" showAll="0">
      <items count="13">
        <item m="1" x="10"/>
        <item m="1" x="3"/>
        <item m="1" x="5"/>
        <item m="1" x="1"/>
        <item m="1" x="11"/>
        <item m="1" x="2"/>
        <item m="1" x="9"/>
        <item m="1" x="6"/>
        <item m="1" x="7"/>
        <item m="1" x="8"/>
        <item m="1" x="4"/>
        <item n="2019 Q2" x="0"/>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axis="axisRow" subtotalTop="0" showAll="0" sortType="ascending">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axis="axisPage" multipleItemSelectionAllowed="1" showAll="0" defaultSubtotal="0">
      <items count="10">
        <item x="0"/>
        <item m="1" x="7"/>
        <item m="1" x="6"/>
        <item m="1" x="2"/>
        <item h="1" m="1" x="1"/>
        <item h="1" m="1" x="8"/>
        <item h="1" m="1" x="5"/>
        <item h="1" m="1" x="9"/>
        <item m="1" x="3"/>
        <item h="1" m="1" x="4"/>
      </items>
    </pivotField>
    <pivotField subtotalTop="0" showAll="0"/>
    <pivotField subtotalTop="0" showAll="0"/>
    <pivotField dataField="1"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dataField="1"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 dataField="1" dragToRow="0" dragToCol="0" dragToPage="0" showAll="0" defaultSubtotal="0"/>
  </pivotFields>
  <rowFields count="1">
    <field x="5"/>
  </rowFields>
  <rowItems count="6">
    <i>
      <x v="9"/>
    </i>
    <i>
      <x v="10"/>
    </i>
    <i>
      <x v="23"/>
    </i>
    <i>
      <x v="30"/>
    </i>
    <i>
      <x v="36"/>
    </i>
    <i t="grand">
      <x/>
    </i>
  </rowItems>
  <colFields count="1">
    <field x="-2"/>
  </colFields>
  <colItems count="4">
    <i>
      <x/>
    </i>
    <i i="1">
      <x v="1"/>
    </i>
    <i i="2">
      <x v="2"/>
    </i>
    <i i="3">
      <x v="3"/>
    </i>
  </colItems>
  <pageFields count="4">
    <pageField fld="0" item="11" hier="-1"/>
    <pageField fld="103" hier="-1"/>
    <pageField fld="4" hier="-1"/>
    <pageField fld="6" hier="-1"/>
  </pageFields>
  <dataFields count="4">
    <dataField name="PoP " fld="9" baseField="0" baseItem="0" numFmtId="164"/>
    <dataField name=" % Water GAP" fld="111" baseField="0" baseItem="0" numFmtId="9"/>
    <dataField name=" % Sanitation GAP" fld="113" baseField="0" baseItem="0" numFmtId="9"/>
    <dataField name=" % Hygiene Gap" fld="108" baseField="0" baseItem="0" numFmtId="9"/>
  </dataFields>
  <formats count="38">
    <format dxfId="332">
      <pivotArea type="all" dataOnly="0" outline="0" fieldPosition="0"/>
    </format>
    <format dxfId="331">
      <pivotArea outline="0" collapsedLevelsAreSubtotals="1" fieldPosition="0"/>
    </format>
    <format dxfId="330">
      <pivotArea field="5" type="button" dataOnly="0" labelOnly="1" outline="0" axis="axisRow" fieldPosition="0"/>
    </format>
    <format dxfId="329">
      <pivotArea dataOnly="0" labelOnly="1" outline="0" axis="axisValues" fieldPosition="0"/>
    </format>
    <format dxfId="328">
      <pivotArea dataOnly="0" labelOnly="1" fieldPosition="0">
        <references count="1">
          <reference field="5" count="0"/>
        </references>
      </pivotArea>
    </format>
    <format dxfId="327">
      <pivotArea dataOnly="0" labelOnly="1" grandRow="1" outline="0" fieldPosition="0"/>
    </format>
    <format dxfId="326">
      <pivotArea dataOnly="0" labelOnly="1" outline="0" axis="axisValues" fieldPosition="0"/>
    </format>
    <format dxfId="325">
      <pivotArea type="all" dataOnly="0" outline="0" fieldPosition="0"/>
    </format>
    <format dxfId="324">
      <pivotArea field="5" type="button" dataOnly="0" labelOnly="1" outline="0" axis="axisRow" fieldPosition="0"/>
    </format>
    <format dxfId="323">
      <pivotArea dataOnly="0" labelOnly="1" outline="0" axis="axisValues" fieldPosition="0"/>
    </format>
    <format dxfId="322">
      <pivotArea dataOnly="0" labelOnly="1" fieldPosition="0">
        <references count="1">
          <reference field="5" count="0"/>
        </references>
      </pivotArea>
    </format>
    <format dxfId="321">
      <pivotArea dataOnly="0" labelOnly="1" outline="0" axis="axisValues" fieldPosition="0"/>
    </format>
    <format dxfId="320">
      <pivotArea field="5" type="button" dataOnly="0" labelOnly="1" outline="0" axis="axisRow" fieldPosition="0"/>
    </format>
    <format dxfId="319">
      <pivotArea type="all" dataOnly="0" outline="0" fieldPosition="0"/>
    </format>
    <format dxfId="318">
      <pivotArea field="5" type="button" dataOnly="0" labelOnly="1" outline="0" axis="axisRow" fieldPosition="0"/>
    </format>
    <format dxfId="317">
      <pivotArea dataOnly="0" labelOnly="1" outline="0" fieldPosition="0">
        <references count="1">
          <reference field="4294967294" count="1">
            <x v="0"/>
          </reference>
        </references>
      </pivotArea>
    </format>
    <format dxfId="316">
      <pivotArea type="all" dataOnly="0" outline="0" fieldPosition="0"/>
    </format>
    <format dxfId="315">
      <pivotArea outline="0" collapsedLevelsAreSubtotals="1" fieldPosition="0"/>
    </format>
    <format dxfId="314">
      <pivotArea field="5" type="button" dataOnly="0" labelOnly="1" outline="0" axis="axisRow" fieldPosition="0"/>
    </format>
    <format dxfId="313">
      <pivotArea dataOnly="0" labelOnly="1" fieldPosition="0">
        <references count="1">
          <reference field="5" count="2">
            <x v="30"/>
            <x v="36"/>
          </reference>
        </references>
      </pivotArea>
    </format>
    <format dxfId="312">
      <pivotArea dataOnly="0" labelOnly="1" outline="0" fieldPosition="0">
        <references count="1">
          <reference field="4294967294" count="1">
            <x v="0"/>
          </reference>
        </references>
      </pivotArea>
    </format>
    <format dxfId="311">
      <pivotArea field="5" type="button" dataOnly="0" labelOnly="1" outline="0" axis="axisRow" fieldPosition="0"/>
    </format>
    <format dxfId="310">
      <pivotArea dataOnly="0" labelOnly="1" outline="0" fieldPosition="0">
        <references count="1">
          <reference field="4294967294" count="1">
            <x v="0"/>
          </reference>
        </references>
      </pivotArea>
    </format>
    <format dxfId="309">
      <pivotArea type="all" dataOnly="0" outline="0" fieldPosition="0"/>
    </format>
    <format dxfId="308">
      <pivotArea outline="0" collapsedLevelsAreSubtotals="1" fieldPosition="0"/>
    </format>
    <format dxfId="307">
      <pivotArea field="5" type="button" dataOnly="0" labelOnly="1" outline="0" axis="axisRow" fieldPosition="0"/>
    </format>
    <format dxfId="306">
      <pivotArea dataOnly="0" labelOnly="1" fieldPosition="0">
        <references count="1">
          <reference field="5" count="5">
            <x v="9"/>
            <x v="10"/>
            <x v="23"/>
            <x v="30"/>
            <x v="36"/>
          </reference>
        </references>
      </pivotArea>
    </format>
    <format dxfId="305">
      <pivotArea dataOnly="0" labelOnly="1" grandRow="1" outline="0" fieldPosition="0"/>
    </format>
    <format dxfId="304">
      <pivotArea dataOnly="0" labelOnly="1" outline="0" fieldPosition="0">
        <references count="1">
          <reference field="4294967294" count="1">
            <x v="0"/>
          </reference>
        </references>
      </pivotArea>
    </format>
    <format dxfId="303">
      <pivotArea field="4" type="button" dataOnly="0" labelOnly="1" outline="0" axis="axisPage" fieldPosition="2"/>
    </format>
    <format dxfId="302">
      <pivotArea dataOnly="0" labelOnly="1" outline="0" fieldPosition="0">
        <references count="2">
          <reference field="0" count="1" selected="0">
            <x v="7"/>
          </reference>
          <reference field="4" count="1">
            <x v="1"/>
          </reference>
        </references>
      </pivotArea>
    </format>
    <format dxfId="301">
      <pivotArea outline="0" collapsedLevelsAreSubtotals="1" fieldPosition="0">
        <references count="1">
          <reference field="4294967294" count="1" selected="0">
            <x v="0"/>
          </reference>
        </references>
      </pivotArea>
    </format>
    <format dxfId="300">
      <pivotArea dataOnly="0" labelOnly="1" outline="0" fieldPosition="0">
        <references count="2">
          <reference field="0" count="1" selected="0">
            <x v="8"/>
          </reference>
          <reference field="4" count="1">
            <x v="1"/>
          </reference>
        </references>
      </pivotArea>
    </format>
    <format dxfId="299">
      <pivotArea dataOnly="0" labelOnly="1" outline="0" fieldPosition="0">
        <references count="2">
          <reference field="0" count="1" selected="0">
            <x v="9"/>
          </reference>
          <reference field="4" count="1">
            <x v="1"/>
          </reference>
        </references>
      </pivotArea>
    </format>
    <format dxfId="298">
      <pivotArea dataOnly="0" labelOnly="1" outline="0" fieldPosition="0">
        <references count="2">
          <reference field="0" count="1" selected="0">
            <x v="10"/>
          </reference>
          <reference field="4" count="0"/>
        </references>
      </pivotArea>
    </format>
    <format dxfId="297">
      <pivotArea outline="0" collapsedLevelsAreSubtotals="1" fieldPosition="0">
        <references count="1">
          <reference field="4294967294" count="2" selected="0">
            <x v="1"/>
            <x v="2"/>
          </reference>
        </references>
      </pivotArea>
    </format>
    <format dxfId="296">
      <pivotArea outline="0" collapsedLevelsAreSubtotals="1" fieldPosition="0">
        <references count="1">
          <reference field="4294967294" count="1" selected="0">
            <x v="3"/>
          </reference>
        </references>
      </pivotArea>
    </format>
    <format dxfId="295">
      <pivotArea dataOnly="0" labelOnly="1" outline="0" fieldPosition="0">
        <references count="2">
          <reference field="0" count="1" selected="0">
            <x v="11"/>
          </reference>
          <reference field="4" count="0"/>
        </references>
      </pivotArea>
    </format>
  </formats>
  <conditionalFormats count="1">
    <conditionalFormat priority="5">
      <pivotAreas count="1">
        <pivotArea type="data" outline="0" collapsedLevelsAreSubtotals="1" fieldPosition="0">
          <references count="1">
            <reference field="4294967294" count="3" selected="0">
              <x v="1"/>
              <x v="2"/>
              <x v="3"/>
            </reference>
          </references>
        </pivotArea>
      </pivotAreas>
    </conditionalFormat>
  </conditional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Geo_Gap"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chartFormat="8">
  <location ref="C285:L311" firstHeaderRow="0" firstDataRow="1" firstDataCol="4" rowPageCount="1" colPageCount="1"/>
  <pivotFields count="114">
    <pivotField axis="axisPage" compact="0" outline="0" subtotalTop="0" showAll="0" defaultSubtotal="0">
      <items count="12">
        <item m="1" x="10"/>
        <item m="1" x="3"/>
        <item m="1" x="11"/>
        <item m="1" x="5"/>
        <item m="1" x="2"/>
        <item m="1" x="1"/>
        <item m="1" x="9"/>
        <item m="1" x="6"/>
        <item m="1" x="7"/>
        <item m="1" x="8"/>
        <item m="1" x="4"/>
        <item x="0"/>
      </items>
    </pivotField>
    <pivotField compact="0" outline="0" showAll="0" defaultSubtotal="0"/>
    <pivotField compact="0" outline="0" showAll="0" defaultSubtotal="0"/>
    <pivotField compact="0" outline="0" subtotalTop="0" showAll="0" defaultSubtotal="0"/>
    <pivotField axis="axisRow" compact="0" outline="0" subtotalTop="0" multipleItemSelectionAllowed="1" showAll="0">
      <items count="7">
        <item m="1" x="3"/>
        <item m="1" x="4"/>
        <item m="1" x="2"/>
        <item m="1" x="1"/>
        <item x="0"/>
        <item m="1" x="5"/>
        <item t="default"/>
      </items>
    </pivotField>
    <pivotField axis="axisRow" compact="0" outline="0" subtotalTop="0" showAll="0" defaultSubtotal="0">
      <items count="41">
        <item m="1" x="13"/>
        <item m="1" x="16"/>
        <item m="1" x="36"/>
        <item m="1" x="30"/>
        <item m="1" x="25"/>
        <item m="1" x="29"/>
        <item m="1" x="22"/>
        <item m="1" x="7"/>
        <item x="2"/>
        <item x="3"/>
        <item m="1" x="12"/>
        <item m="1" x="33"/>
        <item m="1" x="9"/>
        <item m="1" x="15"/>
        <item m="1" x="26"/>
        <item m="1" x="11"/>
        <item m="1" x="20"/>
        <item m="1" x="31"/>
        <item m="1" x="23"/>
        <item m="1" x="35"/>
        <item m="1" x="14"/>
        <item x="4"/>
        <item m="1" x="24"/>
        <item m="1" x="21"/>
        <item m="1" x="27"/>
        <item m="1" x="10"/>
        <item x="0"/>
        <item m="1" x="28"/>
        <item m="1" x="18"/>
        <item m="1" x="38"/>
        <item m="1" x="32"/>
        <item m="1" x="39"/>
        <item x="1"/>
        <item m="1" x="40"/>
        <item m="1" x="37"/>
        <item m="1" x="34"/>
        <item m="1" x="17"/>
        <item m="1" x="6"/>
        <item m="1" x="8"/>
        <item m="1" x="5"/>
        <item m="1" x="19"/>
      </items>
    </pivotField>
    <pivotField compact="0" outline="0" showAll="0" defaultSubtotal="0"/>
    <pivotField axis="axisRow" dataField="1" compact="0" outline="0" subtotalTop="0" showAll="0" defaultSubtotal="0">
      <items count="974">
        <item m="1" x="605"/>
        <item m="1" x="928"/>
        <item m="1" x="837"/>
        <item m="1" x="881"/>
        <item m="1" x="319"/>
        <item m="1" x="147"/>
        <item m="1" x="201"/>
        <item m="1" x="463"/>
        <item m="1" x="99"/>
        <item m="1" x="153"/>
        <item m="1" x="434"/>
        <item m="1" x="563"/>
        <item m="1" x="578"/>
        <item m="1" x="334"/>
        <item m="1" x="155"/>
        <item m="1" x="877"/>
        <item m="1" x="771"/>
        <item m="1" x="169"/>
        <item m="1" x="630"/>
        <item m="1" x="396"/>
        <item m="1" x="805"/>
        <item x="0"/>
        <item m="1" x="835"/>
        <item m="1" x="863"/>
        <item m="1" x="240"/>
        <item m="1" x="716"/>
        <item m="1" x="273"/>
        <item m="1" x="291"/>
        <item m="1" x="289"/>
        <item m="1" x="198"/>
        <item m="1" x="118"/>
        <item m="1" x="915"/>
        <item m="1" x="956"/>
        <item m="1" x="642"/>
        <item m="1" x="347"/>
        <item m="1" x="226"/>
        <item m="1" x="449"/>
        <item m="1" x="274"/>
        <item x="1"/>
        <item m="1" x="754"/>
        <item m="1" x="824"/>
        <item x="2"/>
        <item x="3"/>
        <item m="1" x="447"/>
        <item m="1" x="709"/>
        <item m="1" x="710"/>
        <item m="1" x="443"/>
        <item m="1" x="416"/>
        <item m="1" x="268"/>
        <item m="1" x="598"/>
        <item m="1" x="949"/>
        <item m="1" x="907"/>
        <item m="1" x="639"/>
        <item m="1" x="47"/>
        <item m="1" x="869"/>
        <item m="1" x="627"/>
        <item m="1" x="664"/>
        <item m="1" x="61"/>
        <item m="1" x="84"/>
        <item m="1" x="764"/>
        <item m="1" x="839"/>
        <item m="1" x="311"/>
        <item m="1" x="224"/>
        <item m="1" x="306"/>
        <item m="1" x="80"/>
        <item m="1" x="518"/>
        <item m="1" x="698"/>
        <item m="1" x="44"/>
        <item m="1" x="635"/>
        <item x="5"/>
        <item x="6"/>
        <item m="1" x="88"/>
        <item m="1" x="244"/>
        <item m="1" x="827"/>
        <item m="1" x="846"/>
        <item m="1" x="752"/>
        <item m="1" x="450"/>
        <item m="1" x="335"/>
        <item m="1" x="875"/>
        <item m="1" x="514"/>
        <item m="1" x="258"/>
        <item m="1" x="426"/>
        <item m="1" x="718"/>
        <item m="1" x="950"/>
        <item m="1" x="893"/>
        <item m="1" x="200"/>
        <item m="1" x="913"/>
        <item m="1" x="595"/>
        <item m="1" x="458"/>
        <item m="1" x="492"/>
        <item m="1" x="785"/>
        <item m="1" x="91"/>
        <item m="1" x="668"/>
        <item m="1" x="588"/>
        <item m="1" x="892"/>
        <item m="1" x="821"/>
        <item m="1" x="660"/>
        <item m="1" x="497"/>
        <item m="1" x="535"/>
        <item m="1" x="59"/>
        <item m="1" x="873"/>
        <item m="1" x="308"/>
        <item m="1" x="387"/>
        <item m="1" x="164"/>
        <item m="1" x="50"/>
        <item m="1" x="489"/>
        <item m="1" x="582"/>
        <item m="1" x="381"/>
        <item m="1" x="453"/>
        <item m="1" x="336"/>
        <item m="1" x="76"/>
        <item m="1" x="838"/>
        <item m="1" x="620"/>
        <item m="1" x="325"/>
        <item m="1" x="338"/>
        <item m="1" x="625"/>
        <item m="1" x="87"/>
        <item m="1" x="71"/>
        <item m="1" x="700"/>
        <item m="1" x="388"/>
        <item m="1" x="203"/>
        <item m="1" x="637"/>
        <item m="1" x="299"/>
        <item m="1" x="117"/>
        <item m="1" x="603"/>
        <item m="1" x="242"/>
        <item m="1" x="149"/>
        <item m="1" x="393"/>
        <item m="1" x="234"/>
        <item m="1" x="555"/>
        <item m="1" x="922"/>
        <item m="1" x="968"/>
        <item m="1" x="859"/>
        <item m="1" x="284"/>
        <item m="1" x="524"/>
        <item m="1" x="515"/>
        <item m="1" x="757"/>
        <item m="1" x="255"/>
        <item m="1" x="202"/>
        <item m="1" x="249"/>
        <item m="1" x="500"/>
        <item m="1" x="674"/>
        <item m="1" x="884"/>
        <item m="1" x="621"/>
        <item m="1" x="112"/>
        <item m="1" x="791"/>
        <item m="1" x="355"/>
        <item m="1" x="474"/>
        <item m="1" x="281"/>
        <item m="1" x="422"/>
        <item m="1" x="946"/>
        <item m="1" x="359"/>
        <item m="1" x="958"/>
        <item m="1" x="624"/>
        <item m="1" x="225"/>
        <item m="1" x="320"/>
        <item m="1" x="631"/>
        <item m="1" x="364"/>
        <item m="1" x="134"/>
        <item m="1" x="227"/>
        <item m="1" x="152"/>
        <item m="1" x="638"/>
        <item m="1" x="911"/>
        <item m="1" x="279"/>
        <item m="1" x="834"/>
        <item m="1" x="930"/>
        <item m="1" x="468"/>
        <item m="1" x="140"/>
        <item m="1" x="656"/>
        <item m="1" x="188"/>
        <item m="1" x="715"/>
        <item m="1" x="185"/>
        <item m="1" x="232"/>
        <item m="1" x="505"/>
        <item m="1" x="942"/>
        <item m="1" x="960"/>
        <item m="1" x="163"/>
        <item x="9"/>
        <item m="1" x="219"/>
        <item m="1" x="670"/>
        <item m="1" x="254"/>
        <item m="1" x="330"/>
        <item m="1" x="748"/>
        <item m="1" x="172"/>
        <item m="1" x="836"/>
        <item m="1" x="883"/>
        <item x="10"/>
        <item m="1" x="451"/>
        <item m="1" x="841"/>
        <item m="1" x="241"/>
        <item m="1" x="97"/>
        <item m="1" x="362"/>
        <item m="1" x="583"/>
        <item m="1" x="46"/>
        <item m="1" x="127"/>
        <item m="1" x="819"/>
        <item m="1" x="509"/>
        <item m="1" x="302"/>
        <item m="1" x="247"/>
        <item m="1" x="121"/>
        <item m="1" x="826"/>
        <item m="1" x="721"/>
        <item m="1" x="114"/>
        <item m="1" x="559"/>
        <item m="1" x="803"/>
        <item m="1" x="707"/>
        <item m="1" x="770"/>
        <item m="1" x="768"/>
        <item m="1" x="167"/>
        <item m="1" x="971"/>
        <item m="1" x="90"/>
        <item m="1" x="34"/>
        <item m="1" x="777"/>
        <item m="1" x="383"/>
        <item m="1" x="85"/>
        <item m="1" x="606"/>
        <item m="1" x="341"/>
        <item m="1" x="679"/>
        <item m="1" x="372"/>
        <item m="1" x="493"/>
        <item m="1" x="371"/>
        <item m="1" x="628"/>
        <item m="1" x="600"/>
        <item m="1" x="144"/>
        <item m="1" x="622"/>
        <item m="1" x="174"/>
        <item m="1" x="124"/>
        <item m="1" x="178"/>
        <item m="1" x="101"/>
        <item m="1" x="160"/>
        <item m="1" x="615"/>
        <item m="1" x="737"/>
        <item m="1" x="786"/>
        <item m="1" x="781"/>
        <item m="1" x="27"/>
        <item m="1" x="214"/>
        <item m="1" x="262"/>
        <item m="1" x="386"/>
        <item m="1" x="695"/>
        <item m="1" x="645"/>
        <item m="1" x="158"/>
        <item m="1" x="108"/>
        <item m="1" x="832"/>
        <item m="1" x="806"/>
        <item m="1" x="238"/>
        <item m="1" x="673"/>
        <item m="1" x="652"/>
        <item m="1" x="739"/>
        <item m="1" x="820"/>
        <item m="1" x="337"/>
        <item m="1" x="415"/>
        <item m="1" x="900"/>
        <item m="1" x="855"/>
        <item m="1" x="755"/>
        <item m="1" x="530"/>
        <item m="1" x="575"/>
        <item m="1" x="36"/>
        <item m="1" x="205"/>
        <item m="1" x="720"/>
        <item m="1" x="813"/>
        <item m="1" x="45"/>
        <item m="1" x="365"/>
        <item m="1" x="479"/>
        <item m="1" x="98"/>
        <item m="1" x="840"/>
        <item m="1" x="165"/>
        <item m="1" x="581"/>
        <item m="1" x="175"/>
        <item m="1" x="74"/>
        <item m="1" x="148"/>
        <item x="11"/>
        <item m="1" x="614"/>
        <item m="1" x="265"/>
        <item m="1" x="358"/>
        <item m="1" x="162"/>
        <item m="1" x="173"/>
        <item m="1" x="328"/>
        <item m="1" x="186"/>
        <item m="1" x="932"/>
        <item m="1" x="916"/>
        <item m="1" x="626"/>
        <item m="1" x="94"/>
        <item m="1" x="421"/>
        <item m="1" x="195"/>
        <item m="1" x="640"/>
        <item m="1" x="586"/>
        <item m="1" x="706"/>
        <item m="1" x="681"/>
        <item m="1" x="221"/>
        <item m="1" x="445"/>
        <item m="1" x="529"/>
        <item m="1" x="111"/>
        <item m="1" x="751"/>
        <item m="1" x="405"/>
        <item m="1" x="318"/>
        <item m="1" x="327"/>
        <item m="1" x="532"/>
        <item m="1" x="897"/>
        <item m="1" x="348"/>
        <item m="1" x="235"/>
        <item m="1" x="354"/>
        <item m="1" x="313"/>
        <item m="1" x="417"/>
        <item m="1" x="176"/>
        <item m="1" x="361"/>
        <item m="1" x="552"/>
        <item m="1" x="466"/>
        <item m="1" x="245"/>
        <item m="1" x="833"/>
        <item m="1" x="743"/>
        <item m="1" x="650"/>
        <item m="1" x="257"/>
        <item m="1" x="746"/>
        <item m="1" x="145"/>
        <item m="1" x="699"/>
        <item m="1" x="890"/>
        <item m="1" x="562"/>
        <item m="1" x="123"/>
        <item m="1" x="395"/>
        <item m="1" x="760"/>
        <item m="1" x="847"/>
        <item m="1" x="236"/>
        <item m="1" x="849"/>
        <item m="1" x="135"/>
        <item m="1" x="553"/>
        <item m="1" x="872"/>
        <item m="1" x="38"/>
        <item m="1" x="472"/>
        <item m="1" x="669"/>
        <item m="1" x="427"/>
        <item m="1" x="732"/>
        <item m="1" x="547"/>
        <item m="1" x="193"/>
        <item m="1" x="471"/>
        <item m="1" x="831"/>
        <item m="1" x="222"/>
        <item m="1" x="351"/>
        <item m="1" x="213"/>
        <item m="1" x="346"/>
        <item x="12"/>
        <item x="13"/>
        <item m="1" x="866"/>
        <item m="1" x="810"/>
        <item m="1" x="194"/>
        <item x="14"/>
        <item m="1" x="773"/>
        <item m="1" x="210"/>
        <item m="1" x="456"/>
        <item m="1" x="436"/>
        <item m="1" x="766"/>
        <item m="1" x="187"/>
        <item m="1" x="392"/>
        <item m="1" x="119"/>
        <item m="1" x="282"/>
        <item m="1" x="490"/>
        <item m="1" x="363"/>
        <item m="1" x="113"/>
        <item x="15"/>
        <item m="1" x="394"/>
        <item x="16"/>
        <item x="17"/>
        <item m="1" x="312"/>
        <item m="1" x="800"/>
        <item m="1" x="876"/>
        <item m="1" x="228"/>
        <item m="1" x="923"/>
        <item m="1" x="461"/>
        <item m="1" x="702"/>
        <item m="1" x="653"/>
        <item m="1" x="657"/>
        <item m="1" x="237"/>
        <item m="1" x="431"/>
        <item m="1" x="32"/>
        <item m="1" x="53"/>
        <item m="1" x="25"/>
        <item m="1" x="926"/>
        <item m="1" x="693"/>
        <item m="1" x="782"/>
        <item m="1" x="349"/>
        <item m="1" x="947"/>
        <item m="1" x="373"/>
        <item m="1" x="378"/>
        <item m="1" x="545"/>
        <item m="1" x="439"/>
        <item m="1" x="411"/>
        <item m="1" x="246"/>
        <item m="1" x="283"/>
        <item m="1" x="572"/>
        <item m="1" x="215"/>
        <item m="1" x="77"/>
        <item m="1" x="324"/>
        <item m="1" x="726"/>
        <item m="1" x="455"/>
        <item m="1" x="901"/>
        <item m="1" x="460"/>
        <item m="1" x="343"/>
        <item m="1" x="498"/>
        <item m="1" x="910"/>
        <item m="1" x="55"/>
        <item m="1" x="796"/>
        <item m="1" x="818"/>
        <item m="1" x="536"/>
        <item m="1" x="128"/>
        <item m="1" x="577"/>
        <item m="1" x="899"/>
        <item m="1" x="196"/>
        <item m="1" x="292"/>
        <item m="1" x="28"/>
        <item m="1" x="182"/>
        <item m="1" x="571"/>
        <item m="1" x="671"/>
        <item m="1" x="277"/>
        <item m="1" x="384"/>
        <item m="1" x="446"/>
        <item m="1" x="40"/>
        <item m="1" x="440"/>
        <item m="1" x="104"/>
        <item m="1" x="485"/>
        <item m="1" x="903"/>
        <item m="1" x="894"/>
        <item m="1" x="317"/>
        <item m="1" x="591"/>
        <item m="1" x="672"/>
        <item m="1" x="723"/>
        <item m="1" x="543"/>
        <item m="1" x="711"/>
        <item m="1" x="749"/>
        <item m="1" x="399"/>
        <item x="19"/>
        <item m="1" x="568"/>
        <item m="1" x="765"/>
        <item m="1" x="772"/>
        <item m="1" x="482"/>
        <item m="1" x="29"/>
        <item m="1" x="126"/>
        <item m="1" x="397"/>
        <item m="1" x="488"/>
        <item m="1" x="964"/>
        <item m="1" x="961"/>
        <item m="1" x="544"/>
        <item m="1" x="401"/>
        <item m="1" x="938"/>
        <item m="1" x="676"/>
        <item m="1" x="970"/>
        <item m="1" x="132"/>
        <item m="1" x="719"/>
        <item m="1" x="31"/>
        <item m="1" x="496"/>
        <item m="1" x="548"/>
        <item m="1" x="368"/>
        <item m="1" x="692"/>
        <item m="1" x="512"/>
        <item m="1" x="857"/>
        <item m="1" x="57"/>
        <item m="1" x="808"/>
        <item m="1" x="722"/>
        <item m="1" x="63"/>
        <item m="1" x="817"/>
        <item m="1" x="717"/>
        <item m="1" x="332"/>
        <item x="20"/>
        <item m="1" x="661"/>
        <item m="1" x="418"/>
        <item m="1" x="734"/>
        <item m="1" x="538"/>
        <item m="1" x="424"/>
        <item m="1" x="736"/>
        <item m="1" x="794"/>
        <item m="1" x="701"/>
        <item m="1" x="102"/>
        <item m="1" x="889"/>
        <item m="1" x="798"/>
        <item m="1" x="648"/>
        <item m="1" x="744"/>
        <item m="1" x="809"/>
        <item m="1" x="30"/>
        <item m="1" x="339"/>
        <item m="1" x="499"/>
        <item m="1" x="557"/>
        <item m="1" x="356"/>
        <item m="1" x="180"/>
        <item m="1" x="741"/>
        <item m="1" x="179"/>
        <item m="1" x="619"/>
        <item m="1" x="546"/>
        <item m="1" x="613"/>
        <item m="1" x="633"/>
        <item m="1" x="425"/>
        <item m="1" x="56"/>
        <item m="1" x="936"/>
        <item m="1" x="675"/>
        <item x="21"/>
        <item m="1" x="694"/>
        <item m="1" x="830"/>
        <item m="1" x="590"/>
        <item m="1" x="962"/>
        <item m="1" x="919"/>
        <item m="1" x="579"/>
        <item m="1" x="329"/>
        <item m="1" x="233"/>
        <item m="1" x="68"/>
        <item x="22"/>
        <item m="1" x="402"/>
        <item m="1" x="420"/>
        <item m="1" x="646"/>
        <item m="1" x="972"/>
        <item m="1" x="476"/>
        <item m="1" x="802"/>
        <item m="1" x="100"/>
        <item m="1" x="522"/>
        <item m="1" x="556"/>
        <item m="1" x="908"/>
        <item m="1" x="931"/>
        <item m="1" x="909"/>
        <item m="1" x="367"/>
        <item m="1" x="276"/>
        <item m="1" x="231"/>
        <item m="1" x="66"/>
        <item m="1" x="229"/>
        <item x="23"/>
        <item x="24"/>
        <item m="1" x="733"/>
        <item m="1" x="248"/>
        <item m="1" x="191"/>
        <item m="1" x="651"/>
        <item m="1" x="865"/>
        <item m="1" x="181"/>
        <item m="1" x="957"/>
        <item m="1" x="369"/>
        <item m="1" x="623"/>
        <item m="1" x="564"/>
        <item m="1" x="138"/>
        <item m="1" x="727"/>
        <item m="1" x="184"/>
        <item m="1" x="714"/>
        <item m="1" x="473"/>
        <item m="1" x="740"/>
        <item m="1" x="285"/>
        <item m="1" x="513"/>
        <item m="1" x="682"/>
        <item m="1" x="89"/>
        <item m="1" x="921"/>
        <item m="1" x="853"/>
        <item m="1" x="783"/>
        <item m="1" x="150"/>
        <item m="1" x="769"/>
        <item m="1" x="141"/>
        <item m="1" x="658"/>
        <item m="1" x="340"/>
        <item m="1" x="437"/>
        <item m="1" x="787"/>
        <item m="1" x="587"/>
        <item m="1" x="433"/>
        <item m="1" x="969"/>
        <item m="1" x="952"/>
        <item m="1" x="763"/>
        <item m="1" x="484"/>
        <item m="1" x="70"/>
        <item m="1" x="750"/>
        <item m="1" x="774"/>
        <item m="1" x="775"/>
        <item m="1" x="858"/>
        <item m="1" x="151"/>
        <item m="1" x="469"/>
        <item m="1" x="263"/>
        <item m="1" x="264"/>
        <item m="1" x="929"/>
        <item m="1" x="870"/>
        <item m="1" x="851"/>
        <item m="1" x="464"/>
        <item m="1" x="914"/>
        <item m="1" x="385"/>
        <item m="1" x="596"/>
        <item m="1" x="792"/>
        <item m="1" x="75"/>
        <item m="1" x="307"/>
        <item m="1" x="96"/>
        <item m="1" x="592"/>
        <item m="1" x="528"/>
        <item m="1" x="560"/>
        <item m="1" x="967"/>
        <item m="1" x="629"/>
        <item m="1" x="854"/>
        <item m="1" x="142"/>
        <item m="1" x="441"/>
        <item m="1" x="882"/>
        <item m="1" x="136"/>
        <item m="1" x="940"/>
        <item m="1" x="519"/>
        <item m="1" x="663"/>
        <item m="1" x="611"/>
        <item m="1" x="35"/>
        <item m="1" x="103"/>
        <item m="1" x="109"/>
        <item m="1" x="724"/>
        <item m="1" x="510"/>
        <item m="1" x="331"/>
        <item m="1" x="78"/>
        <item m="1" x="944"/>
        <item m="1" x="684"/>
        <item m="1" x="212"/>
        <item m="1" x="574"/>
        <item m="1" x="470"/>
        <item m="1" x="966"/>
        <item m="1" x="886"/>
        <item m="1" x="407"/>
        <item m="1" x="286"/>
        <item m="1" x="382"/>
        <item m="1" x="122"/>
        <item m="1" x="828"/>
        <item m="1" x="607"/>
        <item m="1" x="924"/>
        <item m="1" x="39"/>
        <item m="1" x="662"/>
        <item m="1" x="902"/>
        <item m="1" x="632"/>
        <item m="1" x="271"/>
        <item m="1" x="93"/>
        <item m="1" x="259"/>
        <item m="1" x="129"/>
        <item m="1" x="260"/>
        <item m="1" x="558"/>
        <item m="1" x="920"/>
        <item m="1" x="444"/>
        <item m="1" x="604"/>
        <item m="1" x="429"/>
        <item m="1" x="735"/>
        <item m="1" x="703"/>
        <item m="1" x="322"/>
        <item m="1" x="845"/>
        <item m="1" x="438"/>
        <item m="1" x="566"/>
        <item m="1" x="687"/>
        <item m="1" x="261"/>
        <item m="1" x="139"/>
        <item m="1" x="965"/>
        <item m="1" x="110"/>
        <item m="1" x="696"/>
        <item m="1" x="955"/>
        <item m="1" x="888"/>
        <item m="1" x="953"/>
        <item m="1" x="918"/>
        <item m="1" x="295"/>
        <item m="1" x="243"/>
        <item m="1" x="477"/>
        <item m="1" x="350"/>
        <item m="1" x="959"/>
        <item m="1" x="728"/>
        <item m="1" x="880"/>
        <item m="1" x="83"/>
        <item m="1" x="375"/>
        <item m="1" x="288"/>
        <item m="1" x="92"/>
        <item m="1" x="589"/>
        <item m="1" x="511"/>
        <item m="1" x="822"/>
        <item m="1" x="252"/>
        <item m="1" x="352"/>
        <item m="1" x="549"/>
        <item m="1" x="465"/>
        <item m="1" x="844"/>
        <item m="1" x="495"/>
        <item m="1" x="304"/>
        <item m="1" x="935"/>
        <item m="1" x="747"/>
        <item m="1" x="934"/>
        <item m="1" x="933"/>
        <item m="1" x="161"/>
        <item m="1" x="554"/>
        <item m="1" x="207"/>
        <item m="1" x="761"/>
        <item m="1" x="856"/>
        <item m="1" x="353"/>
        <item m="1" x="130"/>
        <item m="1" x="33"/>
        <item m="1" x="269"/>
        <item m="1" x="895"/>
        <item m="1" x="250"/>
        <item m="1" x="380"/>
        <item m="1" x="917"/>
        <item m="1" x="565"/>
        <item m="1" x="667"/>
        <item m="1" x="300"/>
        <item m="1" x="608"/>
        <item m="1" x="116"/>
        <item m="1" x="487"/>
        <item m="1" x="321"/>
        <item m="1" x="655"/>
        <item m="1" x="366"/>
        <item m="1" x="414"/>
        <item m="1" x="287"/>
        <item m="1" x="223"/>
        <item m="1" x="647"/>
        <item m="1" x="804"/>
        <item m="1" x="166"/>
        <item m="1" x="137"/>
        <item m="1" x="874"/>
        <item m="1" x="115"/>
        <item m="1" x="730"/>
        <item m="1" x="688"/>
        <item m="1" x="462"/>
        <item m="1" x="753"/>
        <item m="1" x="506"/>
        <item m="1" x="551"/>
        <item m="1" x="525"/>
        <item m="1" x="170"/>
        <item m="1" x="825"/>
        <item m="1" x="759"/>
        <item m="1" x="204"/>
        <item m="1" x="342"/>
        <item m="1" x="81"/>
        <item m="1" x="467"/>
        <item m="1" x="67"/>
        <item m="1" x="106"/>
        <item m="1" x="72"/>
        <item m="1" x="898"/>
        <item m="1" x="290"/>
        <item m="1" x="542"/>
        <item m="1" x="550"/>
        <item m="1" x="82"/>
        <item m="1" x="725"/>
        <item m="1" x="344"/>
        <item m="1" x="963"/>
        <item m="1" x="480"/>
        <item x="8"/>
        <item x="7"/>
        <item x="18"/>
        <item m="1" x="797"/>
        <item m="1" x="278"/>
        <item m="1" x="267"/>
        <item m="1" x="790"/>
        <item m="1" x="256"/>
        <item m="1" x="799"/>
        <item m="1" x="297"/>
        <item m="1" x="37"/>
        <item m="1" x="885"/>
        <item m="1" x="517"/>
        <item m="1" x="712"/>
        <item m="1" x="570"/>
        <item m="1" x="454"/>
        <item m="1" x="298"/>
        <item m="1" x="435"/>
        <item m="1" x="521"/>
        <item m="1" x="389"/>
        <item m="1" x="220"/>
        <item m="1" x="927"/>
        <item m="1" x="199"/>
        <item m="1" x="303"/>
        <item m="1" x="879"/>
        <item m="1" x="404"/>
        <item m="1" x="374"/>
        <item m="1" x="780"/>
        <item m="1" x="491"/>
        <item m="1" x="211"/>
        <item m="1" x="689"/>
        <item m="1" x="410"/>
        <item m="1" x="430"/>
        <item m="1" x="423"/>
        <item m="1" x="48"/>
        <item m="1" x="481"/>
        <item m="1" x="266"/>
        <item m="1" x="154"/>
        <item m="1" x="954"/>
        <item m="1" x="475"/>
        <item m="1" x="157"/>
        <item m="1" x="801"/>
        <item m="1" x="428"/>
        <item m="1" x="457"/>
        <item m="1" x="64"/>
        <item m="1" x="189"/>
        <item m="1" x="742"/>
        <item m="1" x="398"/>
        <item m="1" x="520"/>
        <item m="1" x="73"/>
        <item m="1" x="504"/>
        <item m="1" x="644"/>
        <item m="1" x="190"/>
        <item m="1" x="294"/>
        <item m="1" x="206"/>
        <item m="1" x="315"/>
        <item m="1" x="301"/>
        <item m="1" x="131"/>
        <item m="1" x="867"/>
        <item m="1" x="713"/>
        <item m="1" x="486"/>
        <item m="1" x="54"/>
        <item m="1" x="593"/>
        <item m="1" x="823"/>
        <item m="1" x="691"/>
        <item m="1" x="412"/>
        <item m="1" x="448"/>
        <item m="1" x="610"/>
        <item m="1" x="217"/>
        <item m="1" x="756"/>
        <item m="1" x="527"/>
        <item m="1" x="432"/>
        <item m="1" x="690"/>
        <item m="1" x="654"/>
        <item m="1" x="618"/>
        <item m="1" x="584"/>
        <item m="1" x="843"/>
        <item m="1" x="599"/>
        <item m="1" x="60"/>
        <item m="1" x="49"/>
        <item m="1" x="209"/>
        <item m="1" x="612"/>
        <item m="1" x="251"/>
        <item m="1" x="597"/>
        <item m="1" x="816"/>
        <item m="1" x="270"/>
        <item m="1" x="218"/>
        <item m="1" x="601"/>
        <item m="1" x="569"/>
        <item m="1" x="314"/>
        <item m="1" x="309"/>
        <item m="1" x="815"/>
        <item m="1" x="345"/>
        <item m="1" x="677"/>
        <item m="1" x="594"/>
        <item m="1" x="852"/>
        <item m="1" x="891"/>
        <item m="1" x="105"/>
        <item m="1" x="939"/>
        <item m="1" x="541"/>
        <item m="1" x="360"/>
        <item m="1" x="784"/>
        <item m="1" x="120"/>
        <item m="1" x="860"/>
        <item m="1" x="685"/>
        <item m="1" x="357"/>
        <item m="1" x="333"/>
        <item m="1" x="310"/>
        <item m="1" x="377"/>
        <item m="1" x="758"/>
        <item m="1" x="305"/>
        <item m="1" x="43"/>
        <item m="1" x="862"/>
        <item m="1" x="778"/>
        <item m="1" x="502"/>
        <item m="1" x="406"/>
        <item m="1" x="811"/>
        <item m="1" x="478"/>
        <item m="1" x="442"/>
        <item m="1" x="133"/>
        <item m="1" x="390"/>
        <item m="1" x="526"/>
        <item m="1" x="494"/>
        <item m="1" x="501"/>
        <item m="1" x="52"/>
        <item m="1" x="146"/>
        <item m="1" x="293"/>
        <item m="1" x="216"/>
        <item m="1" x="776"/>
        <item m="1" x="779"/>
        <item m="1" x="704"/>
        <item m="1" x="729"/>
        <item m="1" x="280"/>
        <item m="1" x="951"/>
        <item m="1" x="419"/>
        <item m="1" x="107"/>
        <item m="1" x="762"/>
        <item m="1" x="403"/>
        <item m="1" x="316"/>
        <item m="1" x="239"/>
        <item x="4"/>
        <item m="1" x="26"/>
        <item m="1" x="616"/>
        <item m="1" x="275"/>
        <item m="1" x="641"/>
        <item m="1" x="65"/>
        <item m="1" x="697"/>
        <item m="1" x="666"/>
        <item m="1" x="69"/>
        <item m="1" x="483"/>
        <item m="1" x="795"/>
        <item m="1" x="452"/>
        <item m="1" x="904"/>
        <item m="1" x="731"/>
        <item m="1" x="842"/>
        <item m="1" x="503"/>
        <item m="1" x="79"/>
        <item m="1" x="812"/>
        <item m="1" x="680"/>
        <item m="1" x="708"/>
        <item m="1" x="253"/>
        <item m="1" x="409"/>
        <item m="1" x="745"/>
        <item m="1" x="379"/>
        <item m="1" x="793"/>
        <item m="1" x="197"/>
        <item m="1" x="561"/>
        <item m="1" x="296"/>
        <item m="1" x="125"/>
        <item m="1" x="636"/>
        <item m="1" x="659"/>
        <item m="1" x="459"/>
        <item m="1" x="539"/>
        <item m="1" x="540"/>
        <item m="1" x="534"/>
        <item m="1" x="850"/>
        <item m="1" x="208"/>
        <item m="1" x="864"/>
        <item m="1" x="925"/>
        <item m="1" x="171"/>
        <item m="1" x="86"/>
        <item m="1" x="168"/>
        <item m="1" x="617"/>
        <item m="1" x="585"/>
        <item m="1" x="230"/>
        <item m="1" x="868"/>
        <item m="1" x="683"/>
        <item m="1" x="42"/>
        <item m="1" x="159"/>
        <item m="1" x="814"/>
        <item m="1" x="413"/>
        <item m="1" x="686"/>
        <item m="1" x="665"/>
        <item m="1" x="643"/>
        <item m="1" x="516"/>
        <item m="1" x="400"/>
        <item m="1" x="370"/>
        <item m="1" x="62"/>
        <item m="1" x="192"/>
        <item m="1" x="829"/>
        <item m="1" x="905"/>
        <item m="1" x="567"/>
        <item m="1" x="945"/>
        <item m="1" x="95"/>
        <item m="1" x="609"/>
        <item m="1" x="678"/>
        <item m="1" x="896"/>
        <item m="1" x="767"/>
        <item m="1" x="705"/>
        <item m="1" x="912"/>
        <item m="1" x="649"/>
        <item m="1" x="537"/>
        <item m="1" x="177"/>
        <item m="1" x="573"/>
        <item m="1" x="789"/>
        <item m="1" x="973"/>
        <item m="1" x="738"/>
        <item m="1" x="326"/>
        <item m="1" x="580"/>
        <item m="1" x="941"/>
        <item m="1" x="523"/>
        <item m="1" x="376"/>
        <item m="1" x="508"/>
        <item m="1" x="408"/>
        <item m="1" x="906"/>
        <item m="1" x="531"/>
        <item m="1" x="878"/>
        <item m="1" x="602"/>
        <item m="1" x="272"/>
        <item m="1" x="143"/>
        <item m="1" x="41"/>
        <item m="1" x="887"/>
        <item m="1" x="58"/>
        <item m="1" x="507"/>
        <item m="1" x="156"/>
        <item m="1" x="871"/>
        <item m="1" x="948"/>
        <item m="1" x="576"/>
        <item m="1" x="861"/>
        <item m="1" x="937"/>
        <item m="1" x="533"/>
        <item m="1" x="848"/>
        <item m="1" x="183"/>
        <item m="1" x="807"/>
        <item m="1" x="51"/>
        <item m="1" x="634"/>
        <item m="1" x="323"/>
        <item m="1" x="391"/>
        <item m="1" x="943"/>
        <item m="1" x="788"/>
      </items>
    </pivotField>
    <pivotField dataField="1" compact="0" outline="0" subtotalTop="0" showAll="0" defaultSubtotal="0"/>
    <pivotField dataField="1"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numFmtId="1" outline="0" subtotalTop="0" showAll="0" defaultSubtotal="0"/>
    <pivotField compact="0" numFmtId="9" outline="0" showAll="0"/>
    <pivotField compact="0" outline="0" showAll="0" defaultSubtotal="0"/>
    <pivotField compact="0" outline="0" subtotalTop="0" showAll="0" defaultSubtotal="0"/>
    <pivotField dataField="1" compact="0" outline="0" subtotalTop="0" showAll="0" defaultSubtotal="0"/>
    <pivotField compact="0" outline="0" showAll="0" defaultSubtotal="0"/>
    <pivotField compact="0" numFmtId="1" outline="0" subtotalTop="0" showAll="0" defaultSubtotal="0"/>
    <pivotField compact="0" numFmtId="1" outline="0" subtotalTop="0" showAll="0" defaultSubtotal="0"/>
    <pivotField compact="0" numFmtId="9" outline="0" showAll="0"/>
    <pivotField compact="0" numFmtId="1" outline="0" showAll="0" defaultSubtotal="0"/>
    <pivotField compact="0" outline="0" showAll="0" defaultSubtotal="0"/>
    <pivotField compact="0" outline="0" subtotalTop="0" showAll="0" defaultSubtotal="0"/>
    <pivotField compact="0" outline="0" subtotalTop="0" showAll="0" defaultSubtotal="0"/>
    <pivotField dataField="1" compact="0" outline="0" subtotalTop="0" showAll="0" defaultSubtotal="0"/>
    <pivotField compact="0" numFmtId="9" outline="0" showAll="0" defaultSubtotal="0"/>
    <pivotField compact="0" numFmtId="1" outline="0" showAll="0" defaultSubtotal="0"/>
    <pivotField compact="0" numFmtId="1" outline="0" showAll="0" defaultSubtotal="0"/>
    <pivotField compact="0" numFmtId="1" outline="0" showAll="0" defaultSubtotal="0"/>
    <pivotField compact="0" numFmtId="1" outline="0" showAll="0" defaultSubtotal="0"/>
    <pivotField compact="0" numFmtId="1" outline="0" showAll="0" defaultSubtotal="0"/>
    <pivotField compact="0" numFmtId="9" outline="0" subtotalTop="0" showAll="0" defaultSubtotal="0"/>
    <pivotField dataField="1" compact="0" numFmtId="9" outline="0" subtotalTop="0" showAll="0" defaultSubtotal="0"/>
    <pivotField compact="0" numFmtId="9" outline="0" subtotalTop="0" showAll="0" defaultSubtotal="0"/>
    <pivotField compact="0" numFmtId="9" outline="0" subtotalTop="0" showAll="0" defaultSubtotal="0"/>
    <pivotField compact="0" outline="0" showAl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5">
        <item m="1" x="4"/>
        <item x="1"/>
        <item x="0"/>
        <item x="3"/>
        <item x="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items count="4">
        <item x="0"/>
        <item n="Gap" m="1" x="3"/>
        <item m="1" x="2"/>
        <item m="1" x="1"/>
      </items>
    </pivotField>
    <pivotField compact="0" outline="0" showAll="0"/>
    <pivotField compact="0" outline="0" showAll="0"/>
    <pivotField compact="0" outline="0" showAll="0"/>
    <pivotField compact="0" outline="0" subtotalTop="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4">
    <field x="4"/>
    <field x="5"/>
    <field x="7"/>
    <field x="98"/>
  </rowFields>
  <rowItems count="26">
    <i>
      <x v="4"/>
      <x v="8"/>
      <x v="177"/>
      <x v="2"/>
    </i>
    <i r="1">
      <x v="9"/>
      <x v="344"/>
      <x v="3"/>
    </i>
    <i r="1">
      <x v="21"/>
      <x v="491"/>
      <x v="2"/>
    </i>
    <i r="1">
      <x v="26"/>
      <x v="21"/>
      <x v="2"/>
    </i>
    <i r="2">
      <x v="186"/>
      <x v="2"/>
    </i>
    <i r="2">
      <x v="339"/>
      <x v="4"/>
    </i>
    <i r="2">
      <x v="340"/>
      <x v="2"/>
    </i>
    <i r="2">
      <x v="460"/>
      <x v="2"/>
    </i>
    <i r="1">
      <x v="32"/>
      <x v="38"/>
      <x v="2"/>
    </i>
    <i r="2">
      <x v="41"/>
      <x v="2"/>
    </i>
    <i r="2">
      <x v="42"/>
      <x v="2"/>
    </i>
    <i r="2">
      <x v="69"/>
      <x v="2"/>
    </i>
    <i r="2">
      <x v="70"/>
      <x v="1"/>
    </i>
    <i r="2">
      <x v="270"/>
      <x v="2"/>
    </i>
    <i r="2">
      <x v="357"/>
      <x v="2"/>
    </i>
    <i r="2">
      <x v="359"/>
      <x v="2"/>
    </i>
    <i r="2">
      <x v="360"/>
      <x v="2"/>
    </i>
    <i r="2">
      <x v="428"/>
      <x v="2"/>
    </i>
    <i r="2">
      <x v="501"/>
      <x v="3"/>
    </i>
    <i r="2">
      <x v="519"/>
      <x v="2"/>
    </i>
    <i r="2">
      <x v="520"/>
      <x v="1"/>
    </i>
    <i r="2">
      <x v="724"/>
      <x v="2"/>
    </i>
    <i r="2">
      <x v="725"/>
      <x v="2"/>
    </i>
    <i r="2">
      <x v="726"/>
      <x v="2"/>
    </i>
    <i r="2">
      <x v="864"/>
      <x v="1"/>
    </i>
    <i t="default">
      <x v="4"/>
    </i>
  </rowItems>
  <colFields count="1">
    <field x="-2"/>
  </colFields>
  <colItems count="6">
    <i>
      <x/>
    </i>
    <i i="1">
      <x v="1"/>
    </i>
    <i i="2">
      <x v="2"/>
    </i>
    <i i="3">
      <x v="3"/>
    </i>
    <i i="4">
      <x v="4"/>
    </i>
    <i i="5">
      <x v="5"/>
    </i>
  </colItems>
  <pageFields count="1">
    <pageField fld="0" item="11" hier="-1"/>
  </pageFields>
  <dataFields count="6">
    <dataField name="Count of Site Name" fld="7" subtotal="count" baseField="0" baseItem="0"/>
    <dataField name="HHs" fld="8" baseField="0" baseItem="0" numFmtId="164"/>
    <dataField name="Pops" fld="9" baseField="0" baseItem="0" numFmtId="164"/>
    <dataField name="% WATER GAP" fld="74" subtotal="average" baseField="85" baseItem="1" numFmtId="9"/>
    <dataField name="% LATRINE GAP" fld="83" subtotal="average" baseField="85" baseItem="1" numFmtId="9"/>
    <dataField name="% HYGIENE GAP" fld="91" subtotal="average" baseField="85" baseItem="1" numFmtId="9"/>
  </dataFields>
  <formats count="60">
    <format dxfId="392">
      <pivotArea type="all" dataOnly="0" outline="0" fieldPosition="0"/>
    </format>
    <format dxfId="391">
      <pivotArea outline="0" collapsedLevelsAreSubtotals="1" fieldPosition="0"/>
    </format>
    <format dxfId="390">
      <pivotArea field="4" type="button" dataOnly="0" labelOnly="1" outline="0" axis="axisRow" fieldPosition="0"/>
    </format>
    <format dxfId="389">
      <pivotArea dataOnly="0" labelOnly="1" grandRow="1" outline="0" fieldPosition="0"/>
    </format>
    <format dxfId="388">
      <pivotArea type="all" dataOnly="0" outline="0" fieldPosition="0"/>
    </format>
    <format dxfId="387">
      <pivotArea dataOnly="0" labelOnly="1" grandRow="1" outline="0" fieldPosition="0"/>
    </format>
    <format dxfId="386">
      <pivotArea type="all" dataOnly="0" outline="0" fieldPosition="0"/>
    </format>
    <format dxfId="385">
      <pivotArea type="origin" dataOnly="0" labelOnly="1" outline="0" fieldPosition="0"/>
    </format>
    <format dxfId="384">
      <pivotArea field="103" type="button" dataOnly="0" labelOnly="1" outline="0"/>
    </format>
    <format dxfId="383">
      <pivotArea type="topRight" dataOnly="0" labelOnly="1" outline="0" fieldPosition="0"/>
    </format>
    <format dxfId="382">
      <pivotArea type="all" dataOnly="0" outline="0" fieldPosition="0"/>
    </format>
    <format dxfId="381">
      <pivotArea outline="0" collapsedLevelsAreSubtotals="1" fieldPosition="0"/>
    </format>
    <format dxfId="380">
      <pivotArea type="origin" dataOnly="0" labelOnly="1" outline="0" fieldPosition="0"/>
    </format>
    <format dxfId="379">
      <pivotArea field="103" type="button" dataOnly="0" labelOnly="1" outline="0"/>
    </format>
    <format dxfId="378">
      <pivotArea type="topRight" dataOnly="0" labelOnly="1" outline="0" fieldPosition="0"/>
    </format>
    <format dxfId="377">
      <pivotArea outline="0" fieldPosition="0">
        <references count="1">
          <reference field="4294967294" count="3" selected="0">
            <x v="3"/>
            <x v="4"/>
            <x v="5"/>
          </reference>
        </references>
      </pivotArea>
    </format>
    <format dxfId="376">
      <pivotArea outline="0" fieldPosition="0">
        <references count="1">
          <reference field="4294967294" count="2" selected="0">
            <x v="1"/>
            <x v="2"/>
          </reference>
        </references>
      </pivotArea>
    </format>
    <format dxfId="375">
      <pivotArea type="all" dataOnly="0" outline="0" fieldPosition="0"/>
    </format>
    <format dxfId="374">
      <pivotArea outline="0" collapsedLevelsAreSubtotals="1" fieldPosition="0"/>
    </format>
    <format dxfId="373">
      <pivotArea field="4" type="button" dataOnly="0" labelOnly="1" outline="0" axis="axisRow" fieldPosition="0"/>
    </format>
    <format dxfId="372">
      <pivotArea field="5" type="button" dataOnly="0" labelOnly="1" outline="0" axis="axisRow" fieldPosition="1"/>
    </format>
    <format dxfId="371">
      <pivotArea field="7" type="button" dataOnly="0" labelOnly="1" outline="0" axis="axisRow" fieldPosition="2"/>
    </format>
    <format dxfId="370">
      <pivotArea field="98" type="button" dataOnly="0" labelOnly="1" outline="0" axis="axisRow" fieldPosition="3"/>
    </format>
    <format dxfId="369">
      <pivotArea dataOnly="0" labelOnly="1" outline="0" fieldPosition="0">
        <references count="1">
          <reference field="4" count="0"/>
        </references>
      </pivotArea>
    </format>
    <format dxfId="368">
      <pivotArea dataOnly="0" labelOnly="1" outline="0" fieldPosition="0">
        <references count="1">
          <reference field="4" count="0" defaultSubtotal="1"/>
        </references>
      </pivotArea>
    </format>
    <format dxfId="367">
      <pivotArea dataOnly="0" labelOnly="1" outline="0" fieldPosition="0">
        <references count="2">
          <reference field="4" count="1" selected="0">
            <x v="0"/>
          </reference>
          <reference field="5" count="8">
            <x v="1"/>
            <x v="12"/>
            <x v="17"/>
            <x v="18"/>
            <x v="28"/>
            <x v="31"/>
            <x v="33"/>
            <x v="35"/>
          </reference>
        </references>
      </pivotArea>
    </format>
    <format dxfId="366">
      <pivotArea dataOnly="0" labelOnly="1" outline="0" fieldPosition="0">
        <references count="2">
          <reference field="4" count="1" selected="0">
            <x v="1"/>
          </reference>
          <reference field="5" count="7">
            <x v="8"/>
            <x v="9"/>
            <x v="15"/>
            <x v="19"/>
            <x v="27"/>
            <x v="30"/>
            <x v="32"/>
          </reference>
        </references>
      </pivotArea>
    </format>
    <format dxfId="365">
      <pivotArea dataOnly="0" labelOnly="1" outline="0" fieldPosition="0">
        <references count="2">
          <reference field="4" count="1" selected="0">
            <x v="2"/>
          </reference>
          <reference field="5" count="4">
            <x v="6"/>
            <x v="7"/>
            <x v="13"/>
            <x v="20"/>
          </reference>
        </references>
      </pivotArea>
    </format>
    <format dxfId="364">
      <pivotArea dataOnly="0" labelOnly="1" outline="0" fieldPosition="0">
        <references count="3">
          <reference field="4" count="1" selected="0">
            <x v="0"/>
          </reference>
          <reference field="5" count="1" selected="0">
            <x v="1"/>
          </reference>
          <reference field="7" count="1">
            <x v="47"/>
          </reference>
        </references>
      </pivotArea>
    </format>
    <format dxfId="363">
      <pivotArea dataOnly="0" labelOnly="1" outline="0" fieldPosition="0">
        <references count="3">
          <reference field="4" count="1" selected="0">
            <x v="0"/>
          </reference>
          <reference field="5" count="1" selected="0">
            <x v="12"/>
          </reference>
          <reference field="7" count="2">
            <x v="256"/>
            <x v="262"/>
          </reference>
        </references>
      </pivotArea>
    </format>
    <format dxfId="362">
      <pivotArea dataOnly="0" labelOnly="1" outline="0" fieldPosition="0">
        <references count="3">
          <reference field="4" count="1" selected="0">
            <x v="0"/>
          </reference>
          <reference field="5" count="1" selected="0">
            <x v="17"/>
          </reference>
          <reference field="7" count="2">
            <x v="110"/>
            <x v="282"/>
          </reference>
        </references>
      </pivotArea>
    </format>
    <format dxfId="361">
      <pivotArea dataOnly="0" labelOnly="1" outline="0" fieldPosition="0">
        <references count="3">
          <reference field="4" count="1" selected="0">
            <x v="0"/>
          </reference>
          <reference field="5" count="1" selected="0">
            <x v="18"/>
          </reference>
          <reference field="7" count="3">
            <x v="154"/>
            <x v="284"/>
            <x v="299"/>
          </reference>
        </references>
      </pivotArea>
    </format>
    <format dxfId="360">
      <pivotArea dataOnly="0" labelOnly="1" outline="0" fieldPosition="0">
        <references count="3">
          <reference field="4" count="1" selected="0">
            <x v="0"/>
          </reference>
          <reference field="5" count="1" selected="0">
            <x v="28"/>
          </reference>
          <reference field="7" count="2">
            <x v="125"/>
            <x v="529"/>
          </reference>
        </references>
      </pivotArea>
    </format>
    <format dxfId="359">
      <pivotArea dataOnly="0" labelOnly="1" outline="0" fieldPosition="0">
        <references count="3">
          <reference field="4" count="1" selected="0">
            <x v="0"/>
          </reference>
          <reference field="5" count="1" selected="0">
            <x v="31"/>
          </reference>
          <reference field="7" count="1">
            <x v="205"/>
          </reference>
        </references>
      </pivotArea>
    </format>
    <format dxfId="358">
      <pivotArea dataOnly="0" labelOnly="1" outline="0" fieldPosition="0">
        <references count="3">
          <reference field="4" count="1" selected="0">
            <x v="0"/>
          </reference>
          <reference field="5" count="1" selected="0">
            <x v="33"/>
          </reference>
          <reference field="7" count="1">
            <x v="466"/>
          </reference>
        </references>
      </pivotArea>
    </format>
    <format dxfId="357">
      <pivotArea dataOnly="0" labelOnly="1" outline="0" fieldPosition="0">
        <references count="3">
          <reference field="4" count="1" selected="0">
            <x v="0"/>
          </reference>
          <reference field="5" count="1" selected="0">
            <x v="35"/>
          </reference>
          <reference field="7" count="1">
            <x v="100"/>
          </reference>
        </references>
      </pivotArea>
    </format>
    <format dxfId="356">
      <pivotArea dataOnly="0" labelOnly="1" outline="0" fieldPosition="0">
        <references count="3">
          <reference field="4" count="1" selected="0">
            <x v="1"/>
          </reference>
          <reference field="5" count="1" selected="0">
            <x v="8"/>
          </reference>
          <reference field="7" count="1">
            <x v="132"/>
          </reference>
        </references>
      </pivotArea>
    </format>
    <format dxfId="355">
      <pivotArea dataOnly="0" labelOnly="1" outline="0" fieldPosition="0">
        <references count="3">
          <reference field="4" count="1" selected="0">
            <x v="1"/>
          </reference>
          <reference field="5" count="1" selected="0">
            <x v="9"/>
          </reference>
          <reference field="7" count="18">
            <x v="14"/>
            <x v="22"/>
            <x v="23"/>
            <x v="89"/>
            <x v="92"/>
            <x v="93"/>
            <x v="153"/>
            <x v="182"/>
            <x v="198"/>
            <x v="209"/>
            <x v="367"/>
            <x v="394"/>
            <x v="420"/>
            <x v="448"/>
            <x v="449"/>
            <x v="490"/>
            <x v="556"/>
            <x v="567"/>
          </reference>
        </references>
      </pivotArea>
    </format>
    <format dxfId="354">
      <pivotArea dataOnly="0" labelOnly="1" outline="0" fieldPosition="0">
        <references count="3">
          <reference field="4" count="1" selected="0">
            <x v="1"/>
          </reference>
          <reference field="5" count="1" selected="0">
            <x v="15"/>
          </reference>
          <reference field="7" count="8">
            <x v="54"/>
            <x v="57"/>
            <x v="134"/>
            <x v="137"/>
            <x v="418"/>
            <x v="450"/>
            <x v="453"/>
            <x v="494"/>
          </reference>
        </references>
      </pivotArea>
    </format>
    <format dxfId="353">
      <pivotArea dataOnly="0" labelOnly="1" outline="0" fieldPosition="0">
        <references count="3">
          <reference field="4" count="1" selected="0">
            <x v="1"/>
          </reference>
          <reference field="5" count="1" selected="0">
            <x v="19"/>
          </reference>
          <reference field="7" count="5">
            <x v="12"/>
            <x v="51"/>
            <x v="210"/>
            <x v="211"/>
            <x v="363"/>
          </reference>
        </references>
      </pivotArea>
    </format>
    <format dxfId="352">
      <pivotArea dataOnly="0" labelOnly="1" outline="0" fieldPosition="0">
        <references count="3">
          <reference field="4" count="1" selected="0">
            <x v="1"/>
          </reference>
          <reference field="5" count="1" selected="0">
            <x v="27"/>
          </reference>
          <reference field="7" count="14">
            <x v="72"/>
            <x v="144"/>
            <x v="195"/>
            <x v="265"/>
            <x v="298"/>
            <x v="379"/>
            <x v="397"/>
            <x v="471"/>
            <x v="472"/>
            <x v="483"/>
            <x v="506"/>
            <x v="531"/>
            <x v="552"/>
            <x v="554"/>
          </reference>
        </references>
      </pivotArea>
    </format>
    <format dxfId="351">
      <pivotArea dataOnly="0" labelOnly="1" outline="0" fieldPosition="0">
        <references count="3">
          <reference field="4" count="1" selected="0">
            <x v="1"/>
          </reference>
          <reference field="5" count="1" selected="0">
            <x v="30"/>
          </reference>
          <reference field="7" count="3">
            <x v="19"/>
            <x v="351"/>
            <x v="352"/>
          </reference>
        </references>
      </pivotArea>
    </format>
    <format dxfId="350">
      <pivotArea dataOnly="0" labelOnly="1" outline="0" fieldPosition="0">
        <references count="3">
          <reference field="4" count="1" selected="0">
            <x v="1"/>
          </reference>
          <reference field="5" count="1" selected="0">
            <x v="32"/>
          </reference>
          <reference field="7" count="7">
            <x v="13"/>
            <x v="40"/>
            <x v="43"/>
            <x v="71"/>
            <x v="189"/>
            <x v="383"/>
            <x v="512"/>
          </reference>
        </references>
      </pivotArea>
    </format>
    <format dxfId="349">
      <pivotArea dataOnly="0" labelOnly="1" outline="0" fieldPosition="0">
        <references count="3">
          <reference field="4" count="1" selected="0">
            <x v="2"/>
          </reference>
          <reference field="5" count="1" selected="0">
            <x v="6"/>
          </reference>
          <reference field="7" count="1">
            <x v="248"/>
          </reference>
        </references>
      </pivotArea>
    </format>
    <format dxfId="348">
      <pivotArea dataOnly="0" labelOnly="1" outline="0" fieldPosition="0">
        <references count="3">
          <reference field="4" count="1" selected="0">
            <x v="2"/>
          </reference>
          <reference field="5" count="1" selected="0">
            <x v="7"/>
          </reference>
          <reference field="7" count="1">
            <x v="372"/>
          </reference>
        </references>
      </pivotArea>
    </format>
    <format dxfId="347">
      <pivotArea dataOnly="0" labelOnly="1" outline="0" fieldPosition="0">
        <references count="3">
          <reference field="4" count="1" selected="0">
            <x v="2"/>
          </reference>
          <reference field="5" count="1" selected="0">
            <x v="13"/>
          </reference>
          <reference field="7" count="1">
            <x v="250"/>
          </reference>
        </references>
      </pivotArea>
    </format>
    <format dxfId="346">
      <pivotArea dataOnly="0" labelOnly="1" outline="0" fieldPosition="0">
        <references count="3">
          <reference field="4" count="1" selected="0">
            <x v="2"/>
          </reference>
          <reference field="5" count="1" selected="0">
            <x v="20"/>
          </reference>
          <reference field="7" count="1">
            <x v="111"/>
          </reference>
        </references>
      </pivotArea>
    </format>
    <format dxfId="345">
      <pivotArea dataOnly="0" labelOnly="1" outline="0" fieldPosition="0">
        <references count="4">
          <reference field="4" count="1" selected="0">
            <x v="0"/>
          </reference>
          <reference field="5" count="1" selected="0">
            <x v="1"/>
          </reference>
          <reference field="7" count="1" selected="0">
            <x v="47"/>
          </reference>
          <reference field="98" count="1">
            <x v="1"/>
          </reference>
        </references>
      </pivotArea>
    </format>
    <format dxfId="344">
      <pivotArea dataOnly="0" labelOnly="1" outline="0" fieldPosition="0">
        <references count="4">
          <reference field="4" count="1" selected="0">
            <x v="0"/>
          </reference>
          <reference field="5" count="1" selected="0">
            <x v="12"/>
          </reference>
          <reference field="7" count="1" selected="0">
            <x v="256"/>
          </reference>
          <reference field="98" count="1">
            <x v="1"/>
          </reference>
        </references>
      </pivotArea>
    </format>
    <format dxfId="343">
      <pivotArea dataOnly="0" labelOnly="1" outline="0" fieldPosition="0">
        <references count="4">
          <reference field="4" count="1" selected="0">
            <x v="0"/>
          </reference>
          <reference field="5" count="1" selected="0">
            <x v="12"/>
          </reference>
          <reference field="7" count="1" selected="0">
            <x v="262"/>
          </reference>
          <reference field="98" count="1">
            <x v="1"/>
          </reference>
        </references>
      </pivotArea>
    </format>
    <format dxfId="342">
      <pivotArea dataOnly="0" labelOnly="1" outline="0" fieldPosition="0">
        <references count="4">
          <reference field="4" count="1" selected="0">
            <x v="0"/>
          </reference>
          <reference field="5" count="1" selected="0">
            <x v="17"/>
          </reference>
          <reference field="7" count="1" selected="0">
            <x v="110"/>
          </reference>
          <reference field="98" count="1">
            <x v="1"/>
          </reference>
        </references>
      </pivotArea>
    </format>
    <format dxfId="341">
      <pivotArea dataOnly="0" labelOnly="1" outline="0" fieldPosition="0">
        <references count="4">
          <reference field="4" count="1" selected="0">
            <x v="0"/>
          </reference>
          <reference field="5" count="1" selected="0">
            <x v="17"/>
          </reference>
          <reference field="7" count="1" selected="0">
            <x v="282"/>
          </reference>
          <reference field="98" count="1">
            <x v="1"/>
          </reference>
        </references>
      </pivotArea>
    </format>
    <format dxfId="340">
      <pivotArea dataOnly="0" labelOnly="1" outline="0" fieldPosition="0">
        <references count="4">
          <reference field="4" count="1" selected="0">
            <x v="0"/>
          </reference>
          <reference field="5" count="1" selected="0">
            <x v="18"/>
          </reference>
          <reference field="7" count="1" selected="0">
            <x v="154"/>
          </reference>
          <reference field="98" count="1">
            <x v="1"/>
          </reference>
        </references>
      </pivotArea>
    </format>
    <format dxfId="339">
      <pivotArea dataOnly="0" labelOnly="1" outline="0" fieldPosition="0">
        <references count="4">
          <reference field="4" count="1" selected="0">
            <x v="0"/>
          </reference>
          <reference field="5" count="1" selected="0">
            <x v="18"/>
          </reference>
          <reference field="7" count="1" selected="0">
            <x v="284"/>
          </reference>
          <reference field="98" count="1">
            <x v="1"/>
          </reference>
        </references>
      </pivotArea>
    </format>
    <format dxfId="338">
      <pivotArea dataOnly="0" labelOnly="1" outline="0" fieldPosition="0">
        <references count="4">
          <reference field="4" count="1" selected="0">
            <x v="0"/>
          </reference>
          <reference field="5" count="1" selected="0">
            <x v="18"/>
          </reference>
          <reference field="7" count="1" selected="0">
            <x v="299"/>
          </reference>
          <reference field="98" count="1">
            <x v="1"/>
          </reference>
        </references>
      </pivotArea>
    </format>
    <format dxfId="337">
      <pivotArea dataOnly="0" labelOnly="1" outline="0" fieldPosition="0">
        <references count="4">
          <reference field="4" count="1" selected="0">
            <x v="0"/>
          </reference>
          <reference field="5" count="1" selected="0">
            <x v="28"/>
          </reference>
          <reference field="7" count="1" selected="0">
            <x v="125"/>
          </reference>
          <reference field="98" count="1">
            <x v="1"/>
          </reference>
        </references>
      </pivotArea>
    </format>
    <format dxfId="336">
      <pivotArea dataOnly="0" labelOnly="1" outline="0" fieldPosition="0">
        <references count="4">
          <reference field="4" count="1" selected="0">
            <x v="0"/>
          </reference>
          <reference field="5" count="1" selected="0">
            <x v="28"/>
          </reference>
          <reference field="7" count="1" selected="0">
            <x v="529"/>
          </reference>
          <reference field="98" count="1">
            <x v="1"/>
          </reference>
        </references>
      </pivotArea>
    </format>
    <format dxfId="335">
      <pivotArea dataOnly="0" labelOnly="1" outline="0" fieldPosition="0">
        <references count="4">
          <reference field="4" count="1" selected="0">
            <x v="0"/>
          </reference>
          <reference field="5" count="1" selected="0">
            <x v="31"/>
          </reference>
          <reference field="7" count="1" selected="0">
            <x v="205"/>
          </reference>
          <reference field="98" count="1">
            <x v="1"/>
          </reference>
        </references>
      </pivotArea>
    </format>
    <format dxfId="334">
      <pivotArea dataOnly="0" labelOnly="1" outline="0" fieldPosition="0">
        <references count="4">
          <reference field="4" count="1" selected="0">
            <x v="1"/>
          </reference>
          <reference field="5" count="1" selected="0">
            <x v="32"/>
          </reference>
          <reference field="7" count="1" selected="0">
            <x v="40"/>
          </reference>
          <reference field="98" count="1">
            <x v="1"/>
          </reference>
        </references>
      </pivotArea>
    </format>
    <format dxfId="333">
      <pivotArea dataOnly="0" labelOnly="1" outline="0" fieldPosition="0">
        <references count="1">
          <reference field="4294967294" count="5">
            <x v="1"/>
            <x v="2"/>
            <x v="3"/>
            <x v="4"/>
            <x v="5"/>
          </reference>
        </references>
      </pivotArea>
    </format>
  </formats>
  <pivotTableStyleInfo name="PivotStyleLight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800-00001D000000}" name="S_SWM"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rowHeaderCaption="State">
  <location ref="B142:D144" firstHeaderRow="1" firstDataRow="2" firstDataCol="1" rowPageCount="3" colPageCount="1"/>
  <pivotFields count="114">
    <pivotField axis="axisPage" subtotalTop="0" multipleItemSelectionAllowed="1" showAll="0">
      <items count="13">
        <item m="1" x="10"/>
        <item m="1" x="3"/>
        <item m="1" x="11"/>
        <item h="1" m="1" x="5"/>
        <item m="1" x="2"/>
        <item h="1" m="1" x="1"/>
        <item h="1" m="1" x="9"/>
        <item h="1" m="1" x="6"/>
        <item h="1" m="1" x="7"/>
        <item m="1" x="8"/>
        <item m="1" x="4"/>
        <item x="0"/>
        <item t="default"/>
      </items>
    </pivotField>
    <pivotField showAll="0" defaultSubtotal="0"/>
    <pivotField showAll="0" defaultSubtotal="0"/>
    <pivotField subtotalTop="0" showAll="0"/>
    <pivotField axis="axisRow" subtotalTop="0" showAll="0">
      <items count="7">
        <item m="1" x="3"/>
        <item m="1" x="4"/>
        <item m="1" x="2"/>
        <item h="1" m="1" x="1"/>
        <item x="0"/>
        <item m="1" x="5"/>
        <item t="default"/>
      </items>
    </pivotField>
    <pivotField subtotalTop="0" showAll="0"/>
    <pivotField axis="axisPage" multipleItemSelectionAllowed="1" showAll="0" defaultSubtotal="0">
      <items count="10">
        <item x="0"/>
        <item m="1" x="7"/>
        <item m="1" x="6"/>
        <item h="1" m="1" x="4"/>
        <item m="1" x="2"/>
        <item m="1" x="1"/>
        <item h="1" m="1" x="8"/>
        <item m="1" x="5"/>
        <item h="1" m="1" x="9"/>
        <item m="1" x="3"/>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sortType="descending">
      <items count="4">
        <item m="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1">
    <i>
      <x v="4"/>
    </i>
  </rowItems>
  <colFields count="1">
    <field x="43"/>
  </colFields>
  <colItems count="2">
    <i>
      <x v="1"/>
    </i>
    <i>
      <x v="2"/>
    </i>
  </colItems>
  <pageFields count="3">
    <pageField fld="0" hier="-1"/>
    <pageField fld="103" item="0" hier="-1"/>
    <pageField fld="6" hier="-1"/>
  </pageFields>
  <dataFields count="1">
    <dataField name="Count of Is_there_an_effective_solid_waste_management_system_in_place?" fld="43" subtotal="count" baseField="0" baseItem="0"/>
  </dataFields>
  <formats count="9">
    <format dxfId="401">
      <pivotArea type="all" dataOnly="0" outline="0" fieldPosition="0"/>
    </format>
    <format dxfId="400">
      <pivotArea outline="0" collapsedLevelsAreSubtotals="1" fieldPosition="0"/>
    </format>
    <format dxfId="399">
      <pivotArea type="origin" dataOnly="0" labelOnly="1" outline="0" fieldPosition="0"/>
    </format>
    <format dxfId="398">
      <pivotArea type="topRight" dataOnly="0" labelOnly="1" outline="0" fieldPosition="0"/>
    </format>
    <format dxfId="397">
      <pivotArea field="4" type="button" dataOnly="0" labelOnly="1" outline="0" axis="axisRow" fieldPosition="0"/>
    </format>
    <format dxfId="396">
      <pivotArea dataOnly="0" labelOnly="1" grandRow="1" outline="0" fieldPosition="0"/>
    </format>
    <format dxfId="395">
      <pivotArea dataOnly="0" labelOnly="1" grandCol="1" outline="0" fieldPosition="0"/>
    </format>
    <format dxfId="394">
      <pivotArea type="all" dataOnly="0" outline="0" fieldPosition="0"/>
    </format>
    <format dxfId="393">
      <pivotArea outline="0" collapsedLevelsAreSubtotals="1" fieldPosition="0"/>
    </format>
  </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Hygiene_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200:F202" firstHeaderRow="0" firstDataRow="1" firstDataCol="1" rowPageCount="3" colPageCount="1"/>
  <pivotFields count="114">
    <pivotField axis="axisPage" subtotalTop="0" multipleItemSelectionAllowed="1" showAll="0">
      <items count="13">
        <item h="1" m="1" x="10"/>
        <item m="1" x="3"/>
        <item m="1" x="11"/>
        <item h="1" m="1" x="5"/>
        <item m="1" x="2"/>
        <item h="1" m="1" x="1"/>
        <item h="1" m="1" x="9"/>
        <item h="1" m="1" x="6"/>
        <item h="1" m="1" x="7"/>
        <item m="1" x="8"/>
        <item m="1" x="4"/>
        <item x="0"/>
        <item t="default"/>
      </items>
    </pivotField>
    <pivotField showAll="0" defaultSubtotal="0"/>
    <pivotField showAll="0" defaultSubtotal="0"/>
    <pivotField subtotalTop="0" showAll="0"/>
    <pivotField axis="axisRow" subtotalTop="0" showAll="0">
      <items count="7">
        <item m="1" x="3"/>
        <item m="1" x="4"/>
        <item m="1" x="2"/>
        <item m="1" x="1"/>
        <item x="0"/>
        <item m="1" x="5"/>
        <item t="default"/>
      </items>
    </pivotField>
    <pivotField subtotalTop="0" showAll="0"/>
    <pivotField axis="axisPage" multipleItemSelectionAllowed="1" showAll="0" defaultSubtotal="0">
      <items count="10">
        <item x="0"/>
        <item m="1" x="7"/>
        <item m="1" x="6"/>
        <item h="1" m="1" x="4"/>
        <item m="1" x="2"/>
        <item m="1" x="1"/>
        <item h="1" m="1" x="8"/>
        <item m="1" x="5"/>
        <item h="1" m="1" x="9"/>
        <item m="1" x="3"/>
      </items>
    </pivotField>
    <pivotField subtotalTop="0" showAll="0"/>
    <pivotField dataField="1"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dataField="1"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2">
    <i>
      <x v="4"/>
    </i>
    <i t="grand">
      <x/>
    </i>
  </rowItems>
  <colFields count="1">
    <field x="-2"/>
  </colFields>
  <colItems count="4">
    <i>
      <x/>
    </i>
    <i i="1">
      <x v="1"/>
    </i>
    <i i="2">
      <x v="2"/>
    </i>
    <i i="3">
      <x v="3"/>
    </i>
  </colItems>
  <pageFields count="3">
    <pageField fld="0" hier="-1"/>
    <pageField fld="103" item="0" hier="-1"/>
    <pageField fld="6" hier="-1"/>
  </pageFields>
  <dataFields count="4">
    <dataField name="Sum of Total HH" fld="8" baseField="2" baseItem="0" numFmtId="3"/>
    <dataField name="Sum of # people reached by regular dedicated hygiene promotion_5" fld="85" baseField="0" baseItem="0"/>
    <dataField name="Sum of #_of_affected_households_receiving_a_sufficient_quantity_of_soap" fld="49" baseField="0" baseItem="0"/>
    <dataField name="Sum of #_of_affected_women_and_girls_receiving_a_sufficient_quantity_of_sanitary_pads" fld="50" baseField="0" baseItem="0"/>
  </dataFields>
  <formats count="14">
    <format dxfId="415">
      <pivotArea type="all" dataOnly="0" outline="0" fieldPosition="0"/>
    </format>
    <format dxfId="414">
      <pivotArea type="all" dataOnly="0" outline="0" fieldPosition="0"/>
    </format>
    <format dxfId="413">
      <pivotArea outline="0" collapsedLevelsAreSubtotals="1" fieldPosition="0"/>
    </format>
    <format dxfId="412">
      <pivotArea field="4" type="button" dataOnly="0" labelOnly="1" outline="0" axis="axisRow" fieldPosition="0"/>
    </format>
    <format dxfId="411">
      <pivotArea dataOnly="0" labelOnly="1" fieldPosition="0">
        <references count="1">
          <reference field="4" count="0"/>
        </references>
      </pivotArea>
    </format>
    <format dxfId="410">
      <pivotArea dataOnly="0" labelOnly="1" grandRow="1" outline="0" fieldPosition="0"/>
    </format>
    <format dxfId="409">
      <pivotArea dataOnly="0" labelOnly="1" outline="0" fieldPosition="0">
        <references count="1">
          <reference field="4294967294" count="1">
            <x v="0"/>
          </reference>
        </references>
      </pivotArea>
    </format>
    <format dxfId="408">
      <pivotArea outline="0" fieldPosition="0">
        <references count="1">
          <reference field="4294967294" count="1">
            <x v="0"/>
          </reference>
        </references>
      </pivotArea>
    </format>
    <format dxfId="407">
      <pivotArea type="all" dataOnly="0" outline="0" fieldPosition="0"/>
    </format>
    <format dxfId="406">
      <pivotArea outline="0" collapsedLevelsAreSubtotals="1" fieldPosition="0"/>
    </format>
    <format dxfId="405">
      <pivotArea field="4" type="button" dataOnly="0" labelOnly="1" outline="0" axis="axisRow" fieldPosition="0"/>
    </format>
    <format dxfId="404">
      <pivotArea dataOnly="0" labelOnly="1" fieldPosition="0">
        <references count="1">
          <reference field="4" count="0"/>
        </references>
      </pivotArea>
    </format>
    <format dxfId="403">
      <pivotArea dataOnly="0" labelOnly="1" grandRow="1" outline="0" fieldPosition="0"/>
    </format>
    <format dxfId="402">
      <pivotArea dataOnly="0" labelOnly="1" outline="0" fieldPosition="0">
        <references count="1">
          <reference field="4294967294" count="2">
            <x v="0"/>
            <x v="1"/>
          </reference>
        </references>
      </pivotArea>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D7172247-2FA1-4EAF-9B9D-8D933BFA652B}" name="PivotTable4"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C376:E377" firstHeaderRow="0" firstDataRow="1" firstDataCol="0" rowPageCount="2" colPageCount="1"/>
  <pivotFields count="114">
    <pivotField axis="axisPage" subtotalTop="0" showAll="0">
      <items count="13">
        <item m="1" x="10"/>
        <item m="1" x="3"/>
        <item m="1" x="11"/>
        <item m="1" x="5"/>
        <item m="1" x="2"/>
        <item m="1" x="1"/>
        <item m="1" x="9"/>
        <item m="1" x="6"/>
        <item m="1" x="7"/>
        <item m="1" x="8"/>
        <item m="1" x="4"/>
        <item x="0"/>
        <item t="default"/>
      </items>
    </pivotField>
    <pivotField showAll="0" defaultSubtotal="0"/>
    <pivotField showAll="0" defaultSubtotal="0"/>
    <pivotField subtotalTop="0" showAll="0"/>
    <pivotField subtotalTop="0" multipleItemSelectionAllowed="1" showAll="0">
      <items count="7">
        <item m="1" x="3"/>
        <item m="1" x="4"/>
        <item m="1" x="2"/>
        <item h="1" m="1" x="1"/>
        <item x="0"/>
        <item m="1" x="5"/>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dataField="1"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3">
    <i>
      <x/>
    </i>
    <i i="1">
      <x v="1"/>
    </i>
    <i i="2">
      <x v="2"/>
    </i>
  </colItems>
  <pageFields count="2">
    <pageField fld="0" item="11" hier="-1"/>
    <pageField fld="103" hier="-1"/>
  </pageFields>
  <dataFields count="3">
    <dataField name="Average of %_of_affected_people_surveyed_who_report_feeling_satistfied_with_the_latrine_design_and_sanitation_service" fld="56" subtotal="average" baseField="0" baseItem="1"/>
    <dataField name="Average of %_of_affected_people_surveyed_who_report_feeling_satistfied_with_the_water_point_design_and_water_service" fld="57" subtotal="average" baseField="0" baseItem="1"/>
    <dataField name="Average of %_of_complaints_received_that_result_in_timely_corrective_action_and_feedback_to_the_community" fld="59" subtotal="average" baseField="10" baseItem="0"/>
  </dataFields>
  <formats count="17">
    <format dxfId="432">
      <pivotArea type="all" dataOnly="0" outline="0" fieldPosition="0"/>
    </format>
    <format dxfId="431">
      <pivotArea outline="0" collapsedLevelsAreSubtotals="1" fieldPosition="0"/>
    </format>
    <format dxfId="430">
      <pivotArea field="4" type="button" dataOnly="0" labelOnly="1" outline="0"/>
    </format>
    <format dxfId="429">
      <pivotArea dataOnly="0" labelOnly="1" grandRow="1" outline="0" fieldPosition="0"/>
    </format>
    <format dxfId="428">
      <pivotArea type="all" dataOnly="0" outline="0" fieldPosition="0"/>
    </format>
    <format dxfId="427">
      <pivotArea outline="0" collapsedLevelsAreSubtotals="1" fieldPosition="0"/>
    </format>
    <format dxfId="426">
      <pivotArea type="origin" dataOnly="0" labelOnly="1" outline="0" fieldPosition="0"/>
    </format>
    <format dxfId="425">
      <pivotArea field="103" type="button" dataOnly="0" labelOnly="1" outline="0" axis="axisPage" fieldPosition="1"/>
    </format>
    <format dxfId="424">
      <pivotArea type="topRight" dataOnly="0" labelOnly="1" outline="0" fieldPosition="0"/>
    </format>
    <format dxfId="423">
      <pivotArea dataOnly="0" labelOnly="1" fieldPosition="0">
        <references count="1">
          <reference field="103" count="0"/>
        </references>
      </pivotArea>
    </format>
    <format dxfId="422">
      <pivotArea type="all" dataOnly="0" outline="0" fieldPosition="0"/>
    </format>
    <format dxfId="421">
      <pivotArea outline="0" collapsedLevelsAreSubtotals="1" fieldPosition="0"/>
    </format>
    <format dxfId="420">
      <pivotArea field="4" type="button" dataOnly="0" labelOnly="1" outline="0"/>
    </format>
    <format dxfId="419">
      <pivotArea field="4" type="button" dataOnly="0" labelOnly="1" outline="0"/>
    </format>
    <format dxfId="418">
      <pivotArea field="4" type="button" dataOnly="0" labelOnly="1" outline="0"/>
    </format>
    <format dxfId="417">
      <pivotArea field="4" type="button" dataOnly="0" labelOnly="1" outline="0"/>
    </format>
    <format dxfId="416">
      <pivotArea outline="0" collapsedLevelsAreSubtotals="1" fieldPosition="0"/>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D000000}" name="PivotTable9" cacheId="0" applyNumberFormats="0" applyBorderFormats="0" applyFontFormats="0" applyPatternFormats="0" applyAlignmentFormats="0" applyWidthHeightFormats="1" dataCaption="Values" updatedVersion="6" minRefreshableVersion="3" showDrill="0" itemPrintTitles="1" createdVersion="6" indent="0" showHeaders="0" compact="0" compactData="0" multipleFieldFilters="0">
  <location ref="M6:Q8" firstHeaderRow="0" firstDataRow="1" firstDataCol="1" rowPageCount="3" colPageCount="1"/>
  <pivotFields count="114">
    <pivotField axis="axisRow" compact="0" outline="0" subtotalTop="0" showAll="0">
      <items count="13">
        <item m="1" x="10"/>
        <item m="1" x="5"/>
        <item m="1" x="1"/>
        <item m="1" x="3"/>
        <item m="1" x="11"/>
        <item m="1" x="2"/>
        <item m="1" x="9"/>
        <item m="1" x="6"/>
        <item m="1" x="7"/>
        <item m="1" x="8"/>
        <item m="1" x="4"/>
        <item x="0"/>
        <item t="default"/>
      </items>
    </pivotField>
    <pivotField compact="0" outline="0" showAll="0" defaultSubtotal="0"/>
    <pivotField compact="0" outline="0" showAll="0" defaultSubtotal="0"/>
    <pivotField compact="0" outline="0" subtotalTop="0" showAll="0"/>
    <pivotField axis="axisPage" compact="0" outline="0" subtotalTop="0" multipleItemSelectionAllowed="1" showAll="0">
      <items count="7">
        <item h="1" m="1" x="3"/>
        <item m="1" x="4"/>
        <item h="1" m="1" x="2"/>
        <item h="1" m="1" x="1"/>
        <item x="0"/>
        <item m="1" x="5"/>
        <item t="default"/>
      </items>
    </pivotField>
    <pivotField compact="0" outline="0" subtotalTop="0" showAll="0"/>
    <pivotField axis="axisPage" compact="0" outline="0" multipleItemSelectionAllowed="1" showAll="0" defaultSubtotal="0">
      <items count="10">
        <item x="0"/>
        <item m="1" x="7"/>
        <item m="1" x="6"/>
        <item m="1" x="8"/>
        <item h="1" m="1" x="9"/>
        <item h="1" m="1" x="2"/>
        <item m="1" x="5"/>
        <item m="1" x="1"/>
        <item h="1" m="1" x="3"/>
        <item h="1" m="1" x="4"/>
      </items>
    </pivotField>
    <pivotField compact="0" outline="0" subtotalTop="0" showAll="0"/>
    <pivotField compact="0" outline="0" subtotalTop="0" showAll="0"/>
    <pivotField dataField="1" compact="0" outline="0" subtotalTop="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outline="0" subtotalTop="0" showAll="0"/>
    <pivotField compact="0" numFmtId="9" outline="0" showAll="0"/>
    <pivotField dataField="1" compact="0" outline="0" showAll="0" defaultSubtotal="0"/>
    <pivotField compact="0" outline="0" subtotalTop="0" showAll="0"/>
    <pivotField compact="0" outline="0" subtotalTop="0" showAll="0"/>
    <pivotField compact="0" outline="0" showAll="0" defaultSubtotal="0"/>
    <pivotField compact="0" numFmtId="1" outline="0" subtotalTop="0" showAll="0"/>
    <pivotField compact="0" outline="0" subtotalTop="0" showAll="0"/>
    <pivotField compact="0" numFmtId="9" outline="0" showAll="0"/>
    <pivotField dataField="1" compact="0" numFmtId="1" outline="0" showAll="0" defaultSubtotal="0"/>
    <pivotField compact="0" outline="0" showAll="0" defaultSubtotal="0"/>
    <pivotField compact="0" outline="0" subtotalTop="0" showAll="0"/>
    <pivotField compact="0" outline="0" subtotalTop="0" showAll="0"/>
    <pivotField compact="0" outline="0" subtotalTop="0" showAll="0"/>
    <pivotField compact="0" numFmtId="9" outline="0" showAll="0" defaultSubtotal="0"/>
    <pivotField compact="0" numFmtId="1" outline="0" showAll="0" defaultSubtotal="0"/>
    <pivotField compact="0" numFmtId="1" outline="0" showAll="0" defaultSubtotal="0"/>
    <pivotField compact="0" numFmtId="1" outline="0" showAll="0" defaultSubtotal="0"/>
    <pivotField compact="0" numFmtId="1" outline="0" showAll="0" defaultSubtotal="0"/>
    <pivotField dataField="1" compact="0" numFmtId="1" outline="0" showAll="0" defaultSubtotal="0"/>
    <pivotField compact="0" outline="0" subtotalTop="0" showAll="0"/>
    <pivotField compact="0" outline="0" subtotalTop="0" showAll="0"/>
    <pivotField compact="0" outline="0" subtotalTop="0" showAll="0"/>
    <pivotField compact="0" outline="0" subtotalTop="0" showAll="0"/>
    <pivotField compact="0" outline="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5">
        <item x="0"/>
        <item m="1" x="3"/>
        <item m="1" x="1"/>
        <item m="1" x="2"/>
        <item t="default"/>
      </items>
    </pivotField>
    <pivotField compact="0" outline="0" showAll="0"/>
    <pivotField compact="0" outline="0" showAll="0"/>
    <pivotField compact="0" outline="0" showAll="0"/>
    <pivotField compact="0" outline="0" subtotalTop="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0"/>
  </rowFields>
  <rowItems count="2">
    <i>
      <x v="11"/>
    </i>
    <i t="grand">
      <x/>
    </i>
  </rowItems>
  <colFields count="1">
    <field x="-2"/>
  </colFields>
  <colItems count="4">
    <i>
      <x/>
    </i>
    <i i="1">
      <x v="1"/>
    </i>
    <i i="2">
      <x v="2"/>
    </i>
    <i i="3">
      <x v="3"/>
    </i>
  </colItems>
  <pageFields count="3">
    <pageField fld="103" item="0" hier="-1"/>
    <pageField fld="4" hier="-1"/>
    <pageField fld="6" hier="-1"/>
  </pageFields>
  <dataFields count="4">
    <dataField name="Total Population reached" fld="9" baseField="2" baseItem="0" numFmtId="3"/>
    <dataField name=" HRP1" fld="72" baseField="0" baseItem="9"/>
    <dataField name=" HRP2" fld="79" baseField="0" baseItem="9"/>
    <dataField name=" HRP3" fld="89" baseField="0" baseItem="9"/>
  </dataFields>
  <formats count="17">
    <format dxfId="567">
      <pivotArea field="4" type="button" dataOnly="0" labelOnly="1" outline="0" axis="axisPage" fieldPosition="1"/>
    </format>
    <format dxfId="566">
      <pivotArea type="all" dataOnly="0" outline="0" fieldPosition="0"/>
    </format>
    <format dxfId="565">
      <pivotArea field="4" type="button" dataOnly="0" labelOnly="1" outline="0" axis="axisPage" fieldPosition="1"/>
    </format>
    <format dxfId="564">
      <pivotArea outline="0" fieldPosition="0">
        <references count="1">
          <reference field="4294967294" count="1">
            <x v="0"/>
          </reference>
        </references>
      </pivotArea>
    </format>
    <format dxfId="563">
      <pivotArea dataOnly="0" labelOnly="1" outline="0" fieldPosition="0">
        <references count="1">
          <reference field="4294967294" count="1">
            <x v="0"/>
          </reference>
        </references>
      </pivotArea>
    </format>
    <format dxfId="562">
      <pivotArea type="all" dataOnly="0" outline="0" fieldPosition="0"/>
    </format>
    <format dxfId="561">
      <pivotArea outline="0" collapsedLevelsAreSubtotals="1" fieldPosition="0"/>
    </format>
    <format dxfId="560">
      <pivotArea dataOnly="0" labelOnly="1" fieldPosition="0">
        <references count="1">
          <reference field="4" count="0"/>
        </references>
      </pivotArea>
    </format>
    <format dxfId="559">
      <pivotArea dataOnly="0" labelOnly="1" grandRow="1" outline="0" fieldPosition="0"/>
    </format>
    <format dxfId="558">
      <pivotArea dataOnly="0" labelOnly="1" outline="0" fieldPosition="0">
        <references count="1">
          <reference field="4294967294" count="1">
            <x v="0"/>
          </reference>
        </references>
      </pivotArea>
    </format>
    <format dxfId="557">
      <pivotArea type="all" dataOnly="0" outline="0" fieldPosition="0"/>
    </format>
    <format dxfId="556">
      <pivotArea outline="0" collapsedLevelsAreSubtotals="1" fieldPosition="0"/>
    </format>
    <format dxfId="555">
      <pivotArea dataOnly="0" labelOnly="1" fieldPosition="0">
        <references count="1">
          <reference field="4" count="0"/>
        </references>
      </pivotArea>
    </format>
    <format dxfId="554">
      <pivotArea dataOnly="0" labelOnly="1" grandRow="1" outline="0" fieldPosition="0"/>
    </format>
    <format dxfId="553">
      <pivotArea dataOnly="0" labelOnly="1" outline="0" fieldPosition="0">
        <references count="1">
          <reference field="4294967294" count="1">
            <x v="0"/>
          </reference>
        </references>
      </pivotArea>
    </format>
    <format dxfId="552">
      <pivotArea dataOnly="0" labelOnly="1" outline="0" fieldPosition="0">
        <references count="1">
          <reference field="4294967294" count="1">
            <x v="1"/>
          </reference>
        </references>
      </pivotArea>
    </format>
    <format dxfId="551">
      <pivotArea field="0" grandRow="1" outline="0" axis="axisRow" fieldPosition="0">
        <references count="1">
          <reference field="4294967294" count="1" selected="0">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5677D7C2-8F2F-45B5-912E-66BB993C7826}" name="PivotTable25"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24">
  <location ref="K261:L265" firstHeaderRow="1" firstDataRow="1" firstDataCol="1" rowPageCount="2" colPageCount="1"/>
  <pivotFields count="114">
    <pivotField axis="axisPage" subtotalTop="0" showAll="0">
      <items count="13">
        <item m="1" x="10"/>
        <item m="1" x="3"/>
        <item m="1" x="11"/>
        <item m="1" x="5"/>
        <item m="1" x="2"/>
        <item m="1" x="1"/>
        <item m="1" x="9"/>
        <item m="1" x="6"/>
        <item m="1" x="7"/>
        <item m="1" x="8"/>
        <item m="1" x="4"/>
        <item x="0"/>
        <item t="default"/>
      </items>
    </pivotField>
    <pivotField showAll="0" defaultSubtotal="0"/>
    <pivotField showAll="0" defaultSubtotal="0"/>
    <pivotField subtotalTop="0" showAll="0"/>
    <pivotField subtotalTop="0" multipleItemSelectionAllowed="1" showAll="0">
      <items count="7">
        <item h="1" m="1" x="3"/>
        <item m="1" x="4"/>
        <item h="1" m="1" x="2"/>
        <item m="1" x="1"/>
        <item x="0"/>
        <item m="1" x="5"/>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dataField="1" showAll="0" defaultSubtotal="0"/>
    <pivotField dataField="1" showAll="0" defaultSubtotal="0"/>
    <pivotField subtotalTop="0" showAll="0"/>
    <pivotField showAll="0" defaultSubtotal="0"/>
    <pivotField dataField="1" showAll="0" defaultSubtota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m="1" x="3"/>
        <item h="1" m="1" x="2"/>
        <item h="1"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4">
    <i>
      <x/>
    </i>
    <i i="1">
      <x v="1"/>
    </i>
    <i i="2">
      <x v="2"/>
    </i>
    <i i="3">
      <x v="3"/>
    </i>
  </rowItems>
  <colItems count="1">
    <i/>
  </colItems>
  <pageFields count="2">
    <pageField fld="0" item="11" hier="-1"/>
    <pageField fld="103" hier="-1"/>
  </pageFields>
  <dataFields count="4">
    <dataField name="Sum of #_ paid camp based WASH skilled labor" fld="13" baseField="0" baseItem="0"/>
    <dataField name="Sum of #_paid camp based unskilled WASH unskilled labor" fld="14" baseField="0" baseItem="0"/>
    <dataField name="Sum of #_men on camp WASH team" fld="17" baseField="0" baseItem="0"/>
    <dataField name="Sum of #_women on camp WASH team" fld="18" baseField="0" baseItem="0"/>
  </dataFields>
  <formats count="14">
    <format dxfId="446">
      <pivotArea type="all" dataOnly="0" outline="0" fieldPosition="0"/>
    </format>
    <format dxfId="445">
      <pivotArea outline="0" collapsedLevelsAreSubtotals="1" fieldPosition="0"/>
    </format>
    <format dxfId="444">
      <pivotArea field="4" type="button" dataOnly="0" labelOnly="1" outline="0"/>
    </format>
    <format dxfId="443">
      <pivotArea dataOnly="0" labelOnly="1" grandRow="1" outline="0" fieldPosition="0"/>
    </format>
    <format dxfId="442">
      <pivotArea type="all" dataOnly="0" outline="0" fieldPosition="0"/>
    </format>
    <format dxfId="441">
      <pivotArea outline="0" collapsedLevelsAreSubtotals="1" fieldPosition="0"/>
    </format>
    <format dxfId="440">
      <pivotArea type="origin" dataOnly="0" labelOnly="1" outline="0" fieldPosition="0"/>
    </format>
    <format dxfId="439">
      <pivotArea field="103" type="button" dataOnly="0" labelOnly="1" outline="0" axis="axisPage" fieldPosition="1"/>
    </format>
    <format dxfId="438">
      <pivotArea type="topRight" dataOnly="0" labelOnly="1" outline="0" fieldPosition="0"/>
    </format>
    <format dxfId="437">
      <pivotArea dataOnly="0" labelOnly="1" fieldPosition="0">
        <references count="1">
          <reference field="103" count="0"/>
        </references>
      </pivotArea>
    </format>
    <format dxfId="436">
      <pivotArea type="all" dataOnly="0" outline="0" fieldPosition="0"/>
    </format>
    <format dxfId="435">
      <pivotArea outline="0" collapsedLevelsAreSubtotals="1" fieldPosition="0"/>
    </format>
    <format dxfId="434">
      <pivotArea dataOnly="0" labelOnly="1" fieldPosition="0">
        <references count="1">
          <reference field="103" count="0"/>
        </references>
      </pivotArea>
    </format>
    <format dxfId="433">
      <pivotArea field="4" type="button" dataOnly="0" labelOnly="1" outline="0"/>
    </format>
  </format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00000000-0007-0000-0800-00000F000000}" name="PivotTable2"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4" rowHeaderCaption="State">
  <location ref="C341:E343" firstHeaderRow="1" firstDataRow="2" firstDataCol="1" rowPageCount="3" colPageCount="1"/>
  <pivotFields count="114">
    <pivotField axis="axisPage" subtotalTop="0" showAll="0">
      <items count="13">
        <item m="1" x="10"/>
        <item m="1" x="3"/>
        <item m="1" x="11"/>
        <item m="1" x="5"/>
        <item m="1" x="2"/>
        <item m="1" x="1"/>
        <item m="1" x="9"/>
        <item m="1" x="6"/>
        <item m="1" x="7"/>
        <item m="1" x="8"/>
        <item m="1" x="4"/>
        <item x="0"/>
        <item t="default"/>
      </items>
    </pivotField>
    <pivotField showAll="0" defaultSubtotal="0"/>
    <pivotField showAll="0" defaultSubtotal="0"/>
    <pivotField subtotalTop="0" showAll="0"/>
    <pivotField axis="axisRow" subtotalTop="0" multipleItemSelectionAllowed="1" showAll="0">
      <items count="7">
        <item m="1" x="3"/>
        <item m="1" x="4"/>
        <item m="1" x="2"/>
        <item m="1" x="1"/>
        <item x="0"/>
        <item m="1" x="5"/>
        <item t="default"/>
      </items>
    </pivotField>
    <pivotField subtotalTop="0" showAll="0"/>
    <pivotField axis="axisPage" multipleItemSelectionAllowed="1" showAll="0" defaultSubtotal="0">
      <items count="10">
        <item x="0"/>
        <item m="1" x="7"/>
        <item m="1" x="6"/>
        <item h="1" m="1" x="4"/>
        <item m="1" x="2"/>
        <item m="1" x="1"/>
        <item h="1" m="1" x="8"/>
        <item m="1" x="5"/>
        <item h="1" m="1" x="9"/>
        <item m="1" x="3"/>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axis="axisCol" dataField="1" showAll="0">
      <items count="3">
        <item x="1"/>
        <item x="0"/>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1">
    <i>
      <x v="4"/>
    </i>
  </rowItems>
  <colFields count="1">
    <field x="94"/>
  </colFields>
  <colItems count="2">
    <i>
      <x/>
    </i>
    <i>
      <x v="1"/>
    </i>
  </colItems>
  <pageFields count="3">
    <pageField fld="0" item="11" hier="-1"/>
    <pageField fld="103" hier="-1"/>
    <pageField fld="6" hier="-1"/>
  </pageFields>
  <dataFields count="1">
    <dataField name="Count of Sites with TLS" fld="94" subtotal="count" showDataAs="percentOfRow" baseField="4" baseItem="4" numFmtId="9"/>
  </dataFields>
  <formats count="16">
    <format dxfId="462">
      <pivotArea type="all" dataOnly="0" outline="0" fieldPosition="0"/>
    </format>
    <format dxfId="461">
      <pivotArea outline="0" collapsedLevelsAreSubtotals="1" fieldPosition="0"/>
    </format>
    <format dxfId="460">
      <pivotArea field="4" type="button" dataOnly="0" labelOnly="1" outline="0" axis="axisRow" fieldPosition="0"/>
    </format>
    <format dxfId="459">
      <pivotArea dataOnly="0" labelOnly="1" grandRow="1" outline="0" fieldPosition="0"/>
    </format>
    <format dxfId="458">
      <pivotArea type="all" dataOnly="0" outline="0" fieldPosition="0"/>
    </format>
    <format dxfId="457">
      <pivotArea outline="0" collapsedLevelsAreSubtotals="1" fieldPosition="0"/>
    </format>
    <format dxfId="456">
      <pivotArea type="origin" dataOnly="0" labelOnly="1" outline="0" fieldPosition="0"/>
    </format>
    <format dxfId="455">
      <pivotArea field="103" type="button" dataOnly="0" labelOnly="1" outline="0" axis="axisPage" fieldPosition="1"/>
    </format>
    <format dxfId="454">
      <pivotArea type="topRight" dataOnly="0" labelOnly="1" outline="0" fieldPosition="0"/>
    </format>
    <format dxfId="453">
      <pivotArea dataOnly="0" labelOnly="1" fieldPosition="0">
        <references count="1">
          <reference field="103" count="0"/>
        </references>
      </pivotArea>
    </format>
    <format dxfId="452">
      <pivotArea type="all" dataOnly="0" outline="0" fieldPosition="0"/>
    </format>
    <format dxfId="451">
      <pivotArea outline="0" collapsedLevelsAreSubtotals="1" fieldPosition="0"/>
    </format>
    <format dxfId="450">
      <pivotArea field="4" type="button" dataOnly="0" labelOnly="1" outline="0" axis="axisRow" fieldPosition="0"/>
    </format>
    <format dxfId="449">
      <pivotArea dataOnly="0" labelOnly="1" fieldPosition="0">
        <references count="1">
          <reference field="4" count="0"/>
        </references>
      </pivotArea>
    </format>
    <format dxfId="448">
      <pivotArea outline="0" fieldPosition="0">
        <references count="1">
          <reference field="4294967294" count="1">
            <x v="0"/>
          </reference>
        </references>
      </pivotArea>
    </format>
    <format dxfId="447">
      <pivotArea outline="0" collapsedLevelsAreSubtotals="1" fieldPosition="0"/>
    </format>
  </formats>
  <pivotTableStyleInfo name="PivotStyleMedium2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F59249A3-B57E-4491-85EE-7E373CE682BA}" name="PivotTable5"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21" rowHeaderCaption="State">
  <location ref="P44:T46" firstHeaderRow="0" firstDataRow="1" firstDataCol="1" rowPageCount="3" colPageCount="1"/>
  <pivotFields count="114">
    <pivotField axis="axisPage" subtotalTop="0" multipleItemSelectionAllowed="1" showAll="0">
      <items count="13">
        <item m="1" x="10"/>
        <item m="1" x="3"/>
        <item h="1" m="1" x="5"/>
        <item h="1" m="1" x="1"/>
        <item m="1" x="11"/>
        <item m="1" x="2"/>
        <item h="1" m="1" x="9"/>
        <item h="1" m="1" x="6"/>
        <item h="1" m="1" x="7"/>
        <item m="1" x="8"/>
        <item m="1" x="4"/>
        <item x="0"/>
        <item t="default"/>
      </items>
    </pivotField>
    <pivotField showAll="0" defaultSubtotal="0"/>
    <pivotField showAll="0" defaultSubtotal="0"/>
    <pivotField subtotalTop="0" showAll="0"/>
    <pivotField axis="axisRow" subtotalTop="0" showAll="0">
      <items count="7">
        <item m="1" x="3"/>
        <item m="1" x="4"/>
        <item m="1" x="2"/>
        <item m="1" x="1"/>
        <item x="0"/>
        <item m="1" x="5"/>
        <item t="default"/>
      </items>
    </pivotField>
    <pivotField subtotalTop="0" showAll="0"/>
    <pivotField axis="axisPage" multipleItemSelectionAllowed="1" showAll="0" defaultSubtotal="0">
      <items count="10">
        <item x="0"/>
        <item m="1" x="7"/>
        <item m="1" x="6"/>
        <item m="1" x="2"/>
        <item m="1" x="1"/>
        <item h="1" m="1" x="8"/>
        <item m="1" x="5"/>
        <item h="1" m="1" x="9"/>
        <item m="1" x="3"/>
        <item h="1" m="1" x="4"/>
      </items>
    </pivotField>
    <pivotField dataField="1"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2">
    <i>
      <x v="4"/>
    </i>
    <i t="grand">
      <x/>
    </i>
  </rowItems>
  <colFields count="1">
    <field x="-2"/>
  </colFields>
  <colItems count="4">
    <i>
      <x/>
    </i>
    <i i="1">
      <x v="1"/>
    </i>
    <i i="2">
      <x v="2"/>
    </i>
    <i i="3">
      <x v="3"/>
    </i>
  </colItems>
  <pageFields count="3">
    <pageField fld="0" hier="-1"/>
    <pageField fld="103" hier="-1"/>
    <pageField fld="6" hier="-1"/>
  </pageFields>
  <dataFields count="4">
    <dataField name="Count of Site Name" fld="7" subtotal="count" baseField="0" baseItem="0"/>
    <dataField name="Count of #_Water samples_Tested_at_HH" fld="25" subtotal="count" baseField="0" baseItem="0"/>
    <dataField name="Sum of #_Water samples_Tested_at_HH2" fld="25" baseField="4" baseItem="4"/>
    <dataField name="Count of #_Water samples _passed_at_HH" fld="26" subtotal="count" baseField="0" baseItem="0"/>
  </dataFields>
  <formats count="14">
    <format dxfId="476">
      <pivotArea field="4" type="button" dataOnly="0" labelOnly="1" outline="0" axis="axisRow" fieldPosition="0"/>
    </format>
    <format dxfId="475">
      <pivotArea dataOnly="0" labelOnly="1" outline="0" fieldPosition="0">
        <references count="1">
          <reference field="4294967294" count="1">
            <x v="0"/>
          </reference>
        </references>
      </pivotArea>
    </format>
    <format dxfId="474">
      <pivotArea type="all" dataOnly="0" outline="0" fieldPosition="0"/>
    </format>
    <format dxfId="473">
      <pivotArea outline="0" collapsedLevelsAreSubtotals="1" fieldPosition="0"/>
    </format>
    <format dxfId="472">
      <pivotArea field="4" type="button" dataOnly="0" labelOnly="1" outline="0" axis="axisRow" fieldPosition="0"/>
    </format>
    <format dxfId="471">
      <pivotArea dataOnly="0" labelOnly="1" fieldPosition="0">
        <references count="1">
          <reference field="4" count="0"/>
        </references>
      </pivotArea>
    </format>
    <format dxfId="470">
      <pivotArea dataOnly="0" labelOnly="1" outline="0" fieldPosition="0">
        <references count="1">
          <reference field="4294967294" count="1">
            <x v="0"/>
          </reference>
        </references>
      </pivotArea>
    </format>
    <format dxfId="469">
      <pivotArea type="all" dataOnly="0" outline="0" fieldPosition="0"/>
    </format>
    <format dxfId="468">
      <pivotArea type="all" dataOnly="0" outline="0" fieldPosition="0"/>
    </format>
    <format dxfId="467">
      <pivotArea outline="0" collapsedLevelsAreSubtotals="1" fieldPosition="0"/>
    </format>
    <format dxfId="466">
      <pivotArea field="4" type="button" dataOnly="0" labelOnly="1" outline="0" axis="axisRow" fieldPosition="0"/>
    </format>
    <format dxfId="465">
      <pivotArea dataOnly="0" labelOnly="1" fieldPosition="0">
        <references count="1">
          <reference field="4" count="0"/>
        </references>
      </pivotArea>
    </format>
    <format dxfId="464">
      <pivotArea dataOnly="0" labelOnly="1" outline="0" fieldPosition="0">
        <references count="1">
          <reference field="4294967294" count="1">
            <x v="0"/>
          </reference>
        </references>
      </pivotArea>
    </format>
    <format dxfId="463">
      <pivotArea dataOnly="0" labelOnly="1" outline="0" fieldPosition="0">
        <references count="1">
          <reference field="4294967294" count="1">
            <x v="0"/>
          </reference>
        </references>
      </pivotArea>
    </format>
  </formats>
  <chartFormats count="2">
    <chartFormat chart="11" format="2" series="1">
      <pivotArea type="data" outline="0" fieldPosition="0">
        <references count="1">
          <reference field="4294967294" count="1" selected="0">
            <x v="0"/>
          </reference>
        </references>
      </pivotArea>
    </chartFormat>
    <chartFormat chart="20" format="2" series="1">
      <pivotArea type="data" outline="0" fieldPosition="0">
        <references count="1">
          <reference field="4294967294" count="1" selected="0">
            <x v="0"/>
          </reference>
        </references>
      </pivotArea>
    </chartFormat>
  </chart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5">
  <location ref="A29:F36" firstHeaderRow="0" firstDataRow="1" firstDataCol="2" rowPageCount="1" colPageCount="1"/>
  <pivotFields count="114">
    <pivotField axis="axisPage" compact="0" outline="0" multipleItemSelectionAllowed="1" showAll="0">
      <items count="13">
        <item m="1" x="9"/>
        <item m="1" x="10"/>
        <item m="1" x="3"/>
        <item m="1" x="11"/>
        <item m="1" x="5"/>
        <item m="1" x="2"/>
        <item m="1" x="1"/>
        <item m="1" x="6"/>
        <item m="1" x="7"/>
        <item m="1" x="8"/>
        <item m="1" x="4"/>
        <item x="0"/>
        <item t="default"/>
      </items>
    </pivotField>
    <pivotField compact="0" outline="0" showAll="0" defaultSubtotal="0">
      <items count="43">
        <item m="1" x="26"/>
        <item m="1" x="36"/>
        <item m="1" x="37"/>
        <item x="3"/>
        <item m="1" x="42"/>
        <item x="5"/>
        <item m="1" x="32"/>
        <item m="1" x="9"/>
        <item m="1" x="21"/>
        <item m="1" x="11"/>
        <item x="4"/>
        <item m="1" x="40"/>
        <item m="1" x="30"/>
        <item m="1" x="14"/>
        <item m="1" x="12"/>
        <item m="1" x="31"/>
        <item m="1" x="28"/>
        <item m="1" x="24"/>
        <item m="1" x="18"/>
        <item m="1" x="35"/>
        <item m="1" x="16"/>
        <item m="1" x="15"/>
        <item m="1" x="38"/>
        <item m="1" x="29"/>
        <item m="1" x="23"/>
        <item m="1" x="22"/>
        <item m="1" x="20"/>
        <item x="2"/>
        <item m="1" x="19"/>
        <item x="1"/>
        <item m="1" x="39"/>
        <item m="1" x="10"/>
        <item m="1" x="17"/>
        <item x="7"/>
        <item x="6"/>
        <item m="1" x="41"/>
        <item m="1" x="13"/>
        <item x="0"/>
        <item m="1" x="25"/>
        <item m="1" x="27"/>
        <item m="1" x="34"/>
        <item m="1" x="33"/>
        <item m="1" x="8"/>
      </items>
    </pivotField>
    <pivotField compact="0" outline="0" showAll="0" defaultSubtotal="0"/>
    <pivotField compact="0" outline="0" showAll="0"/>
    <pivotField axis="axisRow" compact="0" outline="0" showAll="0">
      <items count="7">
        <item m="1" x="3"/>
        <item m="1" x="4"/>
        <item m="1" x="2"/>
        <item m="1" x="1"/>
        <item x="0"/>
        <item m="1" x="5"/>
        <item t="default"/>
      </items>
    </pivotField>
    <pivotField axis="axisRow" compact="0" outline="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21"/>
        <item m="1" x="27"/>
        <item m="1" x="10"/>
        <item x="0"/>
        <item m="1" x="28"/>
        <item m="1" x="18"/>
        <item m="1" x="38"/>
        <item m="1" x="32"/>
        <item m="1" x="39"/>
        <item x="1"/>
        <item m="1" x="40"/>
        <item m="1" x="37"/>
        <item m="1" x="34"/>
        <item m="1" x="17"/>
        <item m="1" x="6"/>
        <item m="1" x="8"/>
        <item m="1" x="5"/>
        <item m="1" x="19"/>
        <item t="default"/>
      </items>
    </pivotField>
    <pivotField compact="0" outline="0" showAll="0" defaultSubtotal="0"/>
    <pivotField compact="0" outline="0" showAll="0"/>
    <pivotField compact="0" outline="0" showAll="0"/>
    <pivotField dataField="1" compact="0" numFmtId="1"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numFmtId="1" outline="0" showAll="0"/>
    <pivotField compact="0" numFmtId="9" outline="0" showAl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9" outline="0" showAll="0"/>
    <pivotField compact="0" numFmtId="1" outline="0" showAll="0"/>
    <pivotField compact="0" numFmtId="1"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2">
    <field x="4"/>
    <field x="5"/>
  </rowFields>
  <rowItems count="7">
    <i>
      <x v="4"/>
      <x v="8"/>
    </i>
    <i r="1">
      <x v="9"/>
    </i>
    <i r="1">
      <x v="21"/>
    </i>
    <i r="1">
      <x v="26"/>
    </i>
    <i r="1">
      <x v="32"/>
    </i>
    <i t="default">
      <x v="4"/>
    </i>
    <i t="grand">
      <x/>
    </i>
  </rowItems>
  <colFields count="1">
    <field x="-2"/>
  </colFields>
  <colItems count="4">
    <i>
      <x/>
    </i>
    <i i="1">
      <x v="1"/>
    </i>
    <i i="2">
      <x v="2"/>
    </i>
    <i i="3">
      <x v="3"/>
    </i>
  </colItems>
  <pageFields count="1">
    <pageField fld="0" hier="-1"/>
  </pageFields>
  <dataFields count="4">
    <dataField name="Total Population" fld="9" baseField="0" baseItem="0"/>
    <dataField name="Number of People adopt basic personal and community hygiene practices" fld="89" baseField="0" baseItem="0"/>
    <dataField name="Number of people with equitable and continuous access to safe sanitation facilities" fld="79" baseField="0" baseItem="0"/>
    <dataField name="Number of people with equitable and continuous access to sufficient quantity of domestic water" fld="72" baseField="0" baseItem="0"/>
  </dataFields>
  <formats count="25">
    <format dxfId="66">
      <pivotArea field="4" type="button" dataOnly="0" labelOnly="1" outline="0" axis="axisRow" fieldPosition="0"/>
    </format>
    <format dxfId="65">
      <pivotArea field="5" type="button" dataOnly="0" labelOnly="1" outline="0" axis="axisRow" fieldPosition="1"/>
    </format>
    <format dxfId="64">
      <pivotArea dataOnly="0" labelOnly="1" outline="0" fieldPosition="0">
        <references count="1">
          <reference field="4294967294" count="1">
            <x v="0"/>
          </reference>
        </references>
      </pivotArea>
    </format>
    <format dxfId="63">
      <pivotArea field="4" type="button" dataOnly="0" labelOnly="1" outline="0" axis="axisRow" fieldPosition="0"/>
    </format>
    <format dxfId="62">
      <pivotArea field="5" type="button" dataOnly="0" labelOnly="1" outline="0" axis="axisRow" fieldPosition="1"/>
    </format>
    <format dxfId="61">
      <pivotArea dataOnly="0" labelOnly="1" outline="0" fieldPosition="0">
        <references count="1">
          <reference field="4294967294" count="1">
            <x v="0"/>
          </reference>
        </references>
      </pivotArea>
    </format>
    <format dxfId="60">
      <pivotArea field="4" type="button" dataOnly="0" labelOnly="1" outline="0" axis="axisRow" fieldPosition="0"/>
    </format>
    <format dxfId="59">
      <pivotArea field="5" type="button" dataOnly="0" labelOnly="1" outline="0" axis="axisRow" fieldPosition="1"/>
    </format>
    <format dxfId="58">
      <pivotArea dataOnly="0" labelOnly="1" outline="0" fieldPosition="0">
        <references count="1">
          <reference field="4294967294" count="1">
            <x v="0"/>
          </reference>
        </references>
      </pivotArea>
    </format>
    <format dxfId="57">
      <pivotArea dataOnly="0" labelOnly="1" outline="0" fieldPosition="0">
        <references count="1">
          <reference field="4294967294" count="1">
            <x v="0"/>
          </reference>
        </references>
      </pivotArea>
    </format>
    <format dxfId="56">
      <pivotArea dataOnly="0" labelOnly="1" outline="0" fieldPosition="0">
        <references count="1">
          <reference field="4294967294" count="1">
            <x v="0"/>
          </reference>
        </references>
      </pivotArea>
    </format>
    <format dxfId="55">
      <pivotArea type="all" dataOnly="0" outline="0" fieldPosition="0"/>
    </format>
    <format dxfId="54">
      <pivotArea outline="0" collapsedLevelsAreSubtotals="1" fieldPosition="0"/>
    </format>
    <format dxfId="53">
      <pivotArea field="4" type="button" dataOnly="0" labelOnly="1" outline="0" axis="axisRow" fieldPosition="0"/>
    </format>
    <format dxfId="52">
      <pivotArea field="5" type="button" dataOnly="0" labelOnly="1" outline="0" axis="axisRow" fieldPosition="1"/>
    </format>
    <format dxfId="51">
      <pivotArea dataOnly="0" labelOnly="1" outline="0" fieldPosition="0">
        <references count="1">
          <reference field="4" count="0"/>
        </references>
      </pivotArea>
    </format>
    <format dxfId="50">
      <pivotArea dataOnly="0" labelOnly="1" outline="0" fieldPosition="0">
        <references count="1">
          <reference field="4" count="0" defaultSubtotal="1"/>
        </references>
      </pivotArea>
    </format>
    <format dxfId="49">
      <pivotArea dataOnly="0" labelOnly="1" grandRow="1" outline="0" fieldPosition="0"/>
    </format>
    <format dxfId="48">
      <pivotArea dataOnly="0" labelOnly="1" outline="0" fieldPosition="0">
        <references count="2">
          <reference field="4" count="1" selected="0">
            <x v="0"/>
          </reference>
          <reference field="5" count="13">
            <x v="1"/>
            <x v="3"/>
            <x v="4"/>
            <x v="12"/>
            <x v="16"/>
            <x v="17"/>
            <x v="18"/>
            <x v="22"/>
            <x v="28"/>
            <x v="31"/>
            <x v="33"/>
            <x v="34"/>
            <x v="35"/>
          </reference>
        </references>
      </pivotArea>
    </format>
    <format dxfId="47">
      <pivotArea dataOnly="0" labelOnly="1" outline="0" fieldPosition="0">
        <references count="2">
          <reference field="4" count="1" selected="0">
            <x v="0"/>
          </reference>
          <reference field="5" count="13" defaultSubtotal="1">
            <x v="1"/>
            <x v="3"/>
            <x v="4"/>
            <x v="12"/>
            <x v="16"/>
            <x v="17"/>
            <x v="18"/>
            <x v="22"/>
            <x v="28"/>
            <x v="31"/>
            <x v="33"/>
            <x v="34"/>
            <x v="35"/>
          </reference>
        </references>
      </pivotArea>
    </format>
    <format dxfId="46">
      <pivotArea dataOnly="0" labelOnly="1" outline="0" fieldPosition="0">
        <references count="2">
          <reference field="4" count="1" selected="0">
            <x v="1"/>
          </reference>
          <reference field="5" count="12">
            <x v="0"/>
            <x v="2"/>
            <x v="8"/>
            <x v="9"/>
            <x v="14"/>
            <x v="15"/>
            <x v="19"/>
            <x v="21"/>
            <x v="26"/>
            <x v="27"/>
            <x v="30"/>
            <x v="32"/>
          </reference>
        </references>
      </pivotArea>
    </format>
    <format dxfId="45">
      <pivotArea dataOnly="0" labelOnly="1" outline="0" fieldPosition="0">
        <references count="2">
          <reference field="4" count="1" selected="0">
            <x v="1"/>
          </reference>
          <reference field="5" count="12" defaultSubtotal="1">
            <x v="0"/>
            <x v="2"/>
            <x v="8"/>
            <x v="9"/>
            <x v="14"/>
            <x v="15"/>
            <x v="19"/>
            <x v="21"/>
            <x v="26"/>
            <x v="27"/>
            <x v="30"/>
            <x v="32"/>
          </reference>
        </references>
      </pivotArea>
    </format>
    <format dxfId="44">
      <pivotArea dataOnly="0" labelOnly="1" outline="0" fieldPosition="0">
        <references count="2">
          <reference field="4" count="1" selected="0">
            <x v="2"/>
          </reference>
          <reference field="5" count="7">
            <x v="5"/>
            <x v="6"/>
            <x v="7"/>
            <x v="13"/>
            <x v="20"/>
            <x v="23"/>
            <x v="24"/>
          </reference>
        </references>
      </pivotArea>
    </format>
    <format dxfId="43">
      <pivotArea dataOnly="0" labelOnly="1" outline="0" fieldPosition="0">
        <references count="2">
          <reference field="4" count="1" selected="0">
            <x v="2"/>
          </reference>
          <reference field="5" count="7" defaultSubtotal="1">
            <x v="5"/>
            <x v="6"/>
            <x v="7"/>
            <x v="13"/>
            <x v="20"/>
            <x v="23"/>
            <x v="24"/>
          </reference>
        </references>
      </pivotArea>
    </format>
    <format dxfId="42">
      <pivotArea dataOnly="0" labelOnly="1" outline="0" fieldPosition="0">
        <references count="1">
          <reference field="4294967294" count="1">
            <x v="0"/>
          </reference>
        </references>
      </pivotArea>
    </format>
  </formats>
  <chartFormats count="4">
    <chartFormat chart="1" format="0"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3"/>
          </reference>
        </references>
      </pivotArea>
    </chartFormat>
    <chartFormat chart="1" format="5" series="1">
      <pivotArea type="data" outline="0" fieldPosition="0">
        <references count="1">
          <reference field="4294967294" count="1" selected="0">
            <x v="2"/>
          </reference>
        </references>
      </pivotArea>
    </chartFormat>
    <chartFormat chart="1" format="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8">
  <location ref="A38:E64" firstHeaderRow="0" firstDataRow="1" firstDataCol="1" rowPageCount="3" colPageCount="1"/>
  <pivotFields count="114">
    <pivotField axis="axisPage" compact="0" outline="0" showAll="0">
      <items count="13">
        <item m="1" x="9"/>
        <item m="1" x="10"/>
        <item m="1" x="3"/>
        <item m="1" x="11"/>
        <item m="1" x="5"/>
        <item m="1" x="2"/>
        <item m="1" x="1"/>
        <item m="1" x="6"/>
        <item m="1" x="7"/>
        <item m="1" x="8"/>
        <item m="1" x="4"/>
        <item x="0"/>
        <item t="default"/>
      </items>
    </pivotField>
    <pivotField compact="0" outline="0" showAll="0" defaultSubtotal="0"/>
    <pivotField compact="0" outline="0" showAll="0" defaultSubtotal="0">
      <items count="42">
        <item m="1" x="24"/>
        <item m="1" x="36"/>
        <item m="1" x="37"/>
        <item x="3"/>
        <item m="1" x="40"/>
        <item x="5"/>
        <item m="1" x="34"/>
        <item m="1" x="9"/>
        <item m="1" x="18"/>
        <item m="1" x="11"/>
        <item x="4"/>
        <item m="1" x="38"/>
        <item m="1" x="31"/>
        <item m="1" x="14"/>
        <item m="1" x="19"/>
        <item m="1" x="12"/>
        <item m="1" x="25"/>
        <item m="1" x="32"/>
        <item m="1" x="29"/>
        <item m="1" x="22"/>
        <item m="1" x="41"/>
        <item m="1" x="16"/>
        <item m="1" x="33"/>
        <item m="1" x="15"/>
        <item m="1" x="30"/>
        <item m="1" x="21"/>
        <item m="1" x="20"/>
        <item m="1" x="17"/>
        <item x="2"/>
        <item x="1"/>
        <item m="1" x="10"/>
        <item x="7"/>
        <item x="6"/>
        <item m="1" x="39"/>
        <item m="1" x="13"/>
        <item x="0"/>
        <item m="1" x="23"/>
        <item m="1" x="27"/>
        <item m="1" x="26"/>
        <item m="1" x="28"/>
        <item m="1" x="35"/>
        <item m="1" x="8"/>
      </items>
    </pivotField>
    <pivotField compact="0" outline="0" showAll="0"/>
    <pivotField axis="axisPage" compact="0" outline="0" showAll="0">
      <items count="7">
        <item m="1" x="3"/>
        <item m="1" x="4"/>
        <item m="1" x="2"/>
        <item m="1" x="1"/>
        <item x="0"/>
        <item m="1" x="5"/>
        <item t="default"/>
      </items>
    </pivotField>
    <pivotField axis="axisPage" compact="0" outline="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21"/>
        <item m="1" x="27"/>
        <item m="1" x="10"/>
        <item x="0"/>
        <item m="1" x="28"/>
        <item m="1" x="18"/>
        <item m="1" x="38"/>
        <item m="1" x="32"/>
        <item m="1" x="39"/>
        <item x="1"/>
        <item m="1" x="40"/>
        <item m="1" x="37"/>
        <item m="1" x="34"/>
        <item m="1" x="17"/>
        <item m="1" x="6"/>
        <item m="1" x="8"/>
        <item m="1" x="5"/>
        <item m="1" x="19"/>
        <item t="default"/>
      </items>
    </pivotField>
    <pivotField compact="0" outline="0" showAll="0" defaultSubtotal="0"/>
    <pivotField axis="axisRow" compact="0" outline="0" showAll="0">
      <items count="975">
        <item m="1" x="605"/>
        <item m="1" x="928"/>
        <item m="1" x="837"/>
        <item m="1" x="881"/>
        <item m="1" x="319"/>
        <item m="1" x="147"/>
        <item m="1" x="201"/>
        <item m="1" x="463"/>
        <item m="1" x="99"/>
        <item m="1" x="153"/>
        <item m="1" x="434"/>
        <item m="1" x="563"/>
        <item m="1" x="578"/>
        <item m="1" x="334"/>
        <item m="1" x="155"/>
        <item m="1" x="877"/>
        <item m="1" x="771"/>
        <item m="1" x="169"/>
        <item m="1" x="630"/>
        <item m="1" x="396"/>
        <item m="1" x="805"/>
        <item x="0"/>
        <item m="1" x="835"/>
        <item m="1" x="863"/>
        <item m="1" x="240"/>
        <item m="1" x="716"/>
        <item m="1" x="273"/>
        <item m="1" x="291"/>
        <item m="1" x="289"/>
        <item m="1" x="198"/>
        <item m="1" x="118"/>
        <item m="1" x="915"/>
        <item m="1" x="956"/>
        <item m="1" x="642"/>
        <item m="1" x="347"/>
        <item m="1" x="226"/>
        <item m="1" x="449"/>
        <item m="1" x="274"/>
        <item x="1"/>
        <item m="1" x="754"/>
        <item m="1" x="824"/>
        <item x="2"/>
        <item x="3"/>
        <item m="1" x="447"/>
        <item m="1" x="709"/>
        <item m="1" x="710"/>
        <item m="1" x="443"/>
        <item m="1" x="416"/>
        <item m="1" x="268"/>
        <item m="1" x="598"/>
        <item m="1" x="949"/>
        <item m="1" x="907"/>
        <item m="1" x="639"/>
        <item m="1" x="47"/>
        <item m="1" x="869"/>
        <item m="1" x="627"/>
        <item m="1" x="664"/>
        <item m="1" x="61"/>
        <item m="1" x="84"/>
        <item m="1" x="764"/>
        <item m="1" x="839"/>
        <item m="1" x="311"/>
        <item m="1" x="224"/>
        <item m="1" x="306"/>
        <item m="1" x="80"/>
        <item m="1" x="518"/>
        <item m="1" x="698"/>
        <item m="1" x="44"/>
        <item m="1" x="635"/>
        <item x="5"/>
        <item x="6"/>
        <item m="1" x="88"/>
        <item m="1" x="244"/>
        <item m="1" x="827"/>
        <item m="1" x="846"/>
        <item m="1" x="752"/>
        <item m="1" x="450"/>
        <item m="1" x="335"/>
        <item m="1" x="875"/>
        <item m="1" x="514"/>
        <item m="1" x="258"/>
        <item m="1" x="426"/>
        <item m="1" x="718"/>
        <item m="1" x="950"/>
        <item m="1" x="893"/>
        <item m="1" x="200"/>
        <item m="1" x="913"/>
        <item m="1" x="595"/>
        <item m="1" x="458"/>
        <item m="1" x="492"/>
        <item m="1" x="785"/>
        <item m="1" x="91"/>
        <item m="1" x="668"/>
        <item m="1" x="588"/>
        <item m="1" x="892"/>
        <item m="1" x="821"/>
        <item m="1" x="660"/>
        <item m="1" x="497"/>
        <item m="1" x="535"/>
        <item m="1" x="59"/>
        <item m="1" x="873"/>
        <item m="1" x="308"/>
        <item m="1" x="387"/>
        <item m="1" x="164"/>
        <item m="1" x="50"/>
        <item m="1" x="489"/>
        <item m="1" x="582"/>
        <item m="1" x="381"/>
        <item m="1" x="453"/>
        <item m="1" x="336"/>
        <item m="1" x="76"/>
        <item m="1" x="838"/>
        <item m="1" x="620"/>
        <item m="1" x="325"/>
        <item m="1" x="338"/>
        <item m="1" x="625"/>
        <item m="1" x="87"/>
        <item m="1" x="71"/>
        <item m="1" x="700"/>
        <item m="1" x="388"/>
        <item m="1" x="203"/>
        <item m="1" x="637"/>
        <item m="1" x="299"/>
        <item m="1" x="117"/>
        <item m="1" x="603"/>
        <item m="1" x="242"/>
        <item m="1" x="149"/>
        <item m="1" x="393"/>
        <item m="1" x="234"/>
        <item m="1" x="555"/>
        <item m="1" x="922"/>
        <item m="1" x="968"/>
        <item m="1" x="859"/>
        <item m="1" x="284"/>
        <item m="1" x="524"/>
        <item m="1" x="515"/>
        <item m="1" x="757"/>
        <item m="1" x="255"/>
        <item m="1" x="202"/>
        <item m="1" x="249"/>
        <item m="1" x="500"/>
        <item m="1" x="674"/>
        <item m="1" x="884"/>
        <item m="1" x="621"/>
        <item m="1" x="112"/>
        <item m="1" x="791"/>
        <item m="1" x="355"/>
        <item m="1" x="474"/>
        <item m="1" x="281"/>
        <item m="1" x="422"/>
        <item m="1" x="946"/>
        <item m="1" x="359"/>
        <item m="1" x="958"/>
        <item m="1" x="624"/>
        <item m="1" x="225"/>
        <item m="1" x="320"/>
        <item m="1" x="631"/>
        <item m="1" x="364"/>
        <item m="1" x="134"/>
        <item m="1" x="227"/>
        <item m="1" x="152"/>
        <item m="1" x="638"/>
        <item m="1" x="911"/>
        <item m="1" x="279"/>
        <item m="1" x="834"/>
        <item m="1" x="930"/>
        <item m="1" x="468"/>
        <item m="1" x="140"/>
        <item m="1" x="656"/>
        <item m="1" x="188"/>
        <item m="1" x="715"/>
        <item m="1" x="185"/>
        <item m="1" x="232"/>
        <item m="1" x="505"/>
        <item m="1" x="942"/>
        <item m="1" x="960"/>
        <item m="1" x="163"/>
        <item x="9"/>
        <item m="1" x="219"/>
        <item m="1" x="670"/>
        <item m="1" x="254"/>
        <item m="1" x="330"/>
        <item m="1" x="748"/>
        <item m="1" x="172"/>
        <item m="1" x="836"/>
        <item m="1" x="883"/>
        <item x="10"/>
        <item m="1" x="451"/>
        <item m="1" x="841"/>
        <item m="1" x="241"/>
        <item m="1" x="97"/>
        <item m="1" x="362"/>
        <item m="1" x="583"/>
        <item m="1" x="46"/>
        <item m="1" x="127"/>
        <item m="1" x="819"/>
        <item m="1" x="509"/>
        <item m="1" x="302"/>
        <item m="1" x="247"/>
        <item m="1" x="121"/>
        <item m="1" x="826"/>
        <item m="1" x="721"/>
        <item m="1" x="114"/>
        <item m="1" x="559"/>
        <item m="1" x="803"/>
        <item m="1" x="707"/>
        <item m="1" x="770"/>
        <item m="1" x="768"/>
        <item m="1" x="167"/>
        <item m="1" x="971"/>
        <item m="1" x="90"/>
        <item m="1" x="34"/>
        <item m="1" x="777"/>
        <item m="1" x="383"/>
        <item m="1" x="85"/>
        <item m="1" x="606"/>
        <item m="1" x="341"/>
        <item m="1" x="679"/>
        <item m="1" x="372"/>
        <item m="1" x="493"/>
        <item m="1" x="371"/>
        <item m="1" x="628"/>
        <item m="1" x="600"/>
        <item m="1" x="144"/>
        <item m="1" x="622"/>
        <item m="1" x="174"/>
        <item m="1" x="124"/>
        <item m="1" x="178"/>
        <item m="1" x="101"/>
        <item m="1" x="160"/>
        <item m="1" x="615"/>
        <item m="1" x="737"/>
        <item m="1" x="786"/>
        <item m="1" x="781"/>
        <item m="1" x="27"/>
        <item m="1" x="214"/>
        <item m="1" x="262"/>
        <item m="1" x="386"/>
        <item m="1" x="695"/>
        <item m="1" x="645"/>
        <item m="1" x="158"/>
        <item m="1" x="108"/>
        <item m="1" x="832"/>
        <item m="1" x="806"/>
        <item m="1" x="238"/>
        <item m="1" x="673"/>
        <item m="1" x="652"/>
        <item m="1" x="739"/>
        <item m="1" x="820"/>
        <item m="1" x="337"/>
        <item m="1" x="415"/>
        <item m="1" x="900"/>
        <item m="1" x="855"/>
        <item m="1" x="755"/>
        <item m="1" x="530"/>
        <item m="1" x="575"/>
        <item m="1" x="36"/>
        <item m="1" x="205"/>
        <item m="1" x="720"/>
        <item m="1" x="813"/>
        <item m="1" x="45"/>
        <item m="1" x="365"/>
        <item m="1" x="479"/>
        <item m="1" x="98"/>
        <item m="1" x="840"/>
        <item m="1" x="165"/>
        <item m="1" x="581"/>
        <item m="1" x="175"/>
        <item m="1" x="74"/>
        <item m="1" x="148"/>
        <item x="11"/>
        <item m="1" x="614"/>
        <item m="1" x="265"/>
        <item m="1" x="358"/>
        <item m="1" x="162"/>
        <item m="1" x="173"/>
        <item m="1" x="328"/>
        <item m="1" x="186"/>
        <item m="1" x="932"/>
        <item m="1" x="916"/>
        <item m="1" x="626"/>
        <item m="1" x="94"/>
        <item m="1" x="421"/>
        <item m="1" x="195"/>
        <item m="1" x="640"/>
        <item m="1" x="586"/>
        <item m="1" x="706"/>
        <item m="1" x="681"/>
        <item m="1" x="221"/>
        <item m="1" x="445"/>
        <item m="1" x="529"/>
        <item m="1" x="111"/>
        <item m="1" x="751"/>
        <item m="1" x="405"/>
        <item m="1" x="318"/>
        <item m="1" x="327"/>
        <item m="1" x="532"/>
        <item m="1" x="897"/>
        <item m="1" x="348"/>
        <item m="1" x="235"/>
        <item m="1" x="354"/>
        <item m="1" x="313"/>
        <item m="1" x="417"/>
        <item m="1" x="176"/>
        <item m="1" x="361"/>
        <item m="1" x="552"/>
        <item m="1" x="466"/>
        <item m="1" x="245"/>
        <item m="1" x="833"/>
        <item m="1" x="743"/>
        <item m="1" x="650"/>
        <item m="1" x="257"/>
        <item m="1" x="746"/>
        <item m="1" x="145"/>
        <item m="1" x="699"/>
        <item m="1" x="890"/>
        <item m="1" x="562"/>
        <item m="1" x="123"/>
        <item m="1" x="395"/>
        <item m="1" x="760"/>
        <item m="1" x="847"/>
        <item m="1" x="236"/>
        <item m="1" x="849"/>
        <item m="1" x="135"/>
        <item m="1" x="553"/>
        <item m="1" x="872"/>
        <item m="1" x="38"/>
        <item m="1" x="472"/>
        <item m="1" x="669"/>
        <item m="1" x="427"/>
        <item m="1" x="732"/>
        <item m="1" x="547"/>
        <item m="1" x="193"/>
        <item m="1" x="471"/>
        <item m="1" x="831"/>
        <item m="1" x="222"/>
        <item m="1" x="351"/>
        <item m="1" x="213"/>
        <item m="1" x="346"/>
        <item x="12"/>
        <item x="13"/>
        <item m="1" x="866"/>
        <item m="1" x="810"/>
        <item m="1" x="194"/>
        <item x="14"/>
        <item m="1" x="773"/>
        <item m="1" x="210"/>
        <item m="1" x="456"/>
        <item m="1" x="436"/>
        <item m="1" x="766"/>
        <item m="1" x="187"/>
        <item m="1" x="392"/>
        <item m="1" x="119"/>
        <item m="1" x="282"/>
        <item m="1" x="490"/>
        <item m="1" x="363"/>
        <item m="1" x="113"/>
        <item x="15"/>
        <item m="1" x="394"/>
        <item x="16"/>
        <item x="17"/>
        <item m="1" x="312"/>
        <item m="1" x="800"/>
        <item m="1" x="876"/>
        <item m="1" x="228"/>
        <item m="1" x="923"/>
        <item m="1" x="461"/>
        <item m="1" x="702"/>
        <item m="1" x="653"/>
        <item m="1" x="657"/>
        <item m="1" x="237"/>
        <item m="1" x="431"/>
        <item m="1" x="32"/>
        <item m="1" x="53"/>
        <item m="1" x="25"/>
        <item m="1" x="926"/>
        <item m="1" x="693"/>
        <item m="1" x="782"/>
        <item m="1" x="349"/>
        <item m="1" x="947"/>
        <item m="1" x="373"/>
        <item m="1" x="378"/>
        <item m="1" x="545"/>
        <item m="1" x="439"/>
        <item m="1" x="411"/>
        <item m="1" x="246"/>
        <item m="1" x="283"/>
        <item m="1" x="572"/>
        <item m="1" x="215"/>
        <item m="1" x="77"/>
        <item m="1" x="324"/>
        <item m="1" x="726"/>
        <item m="1" x="455"/>
        <item m="1" x="901"/>
        <item m="1" x="460"/>
        <item m="1" x="343"/>
        <item m="1" x="498"/>
        <item m="1" x="910"/>
        <item m="1" x="55"/>
        <item m="1" x="796"/>
        <item m="1" x="818"/>
        <item m="1" x="536"/>
        <item m="1" x="128"/>
        <item m="1" x="577"/>
        <item m="1" x="899"/>
        <item m="1" x="196"/>
        <item m="1" x="292"/>
        <item m="1" x="28"/>
        <item m="1" x="182"/>
        <item m="1" x="571"/>
        <item m="1" x="671"/>
        <item m="1" x="277"/>
        <item m="1" x="384"/>
        <item m="1" x="446"/>
        <item m="1" x="40"/>
        <item m="1" x="440"/>
        <item m="1" x="104"/>
        <item m="1" x="485"/>
        <item m="1" x="903"/>
        <item m="1" x="894"/>
        <item m="1" x="317"/>
        <item m="1" x="591"/>
        <item m="1" x="672"/>
        <item m="1" x="723"/>
        <item m="1" x="543"/>
        <item m="1" x="711"/>
        <item m="1" x="749"/>
        <item m="1" x="399"/>
        <item x="19"/>
        <item m="1" x="568"/>
        <item m="1" x="765"/>
        <item m="1" x="772"/>
        <item m="1" x="482"/>
        <item m="1" x="29"/>
        <item m="1" x="126"/>
        <item m="1" x="397"/>
        <item m="1" x="488"/>
        <item m="1" x="964"/>
        <item m="1" x="961"/>
        <item m="1" x="544"/>
        <item m="1" x="401"/>
        <item m="1" x="938"/>
        <item m="1" x="676"/>
        <item m="1" x="970"/>
        <item m="1" x="132"/>
        <item m="1" x="719"/>
        <item m="1" x="31"/>
        <item m="1" x="496"/>
        <item m="1" x="548"/>
        <item m="1" x="368"/>
        <item m="1" x="692"/>
        <item m="1" x="512"/>
        <item m="1" x="857"/>
        <item m="1" x="57"/>
        <item m="1" x="808"/>
        <item m="1" x="722"/>
        <item m="1" x="63"/>
        <item m="1" x="817"/>
        <item m="1" x="717"/>
        <item m="1" x="332"/>
        <item x="20"/>
        <item m="1" x="661"/>
        <item m="1" x="418"/>
        <item m="1" x="734"/>
        <item m="1" x="538"/>
        <item m="1" x="424"/>
        <item m="1" x="736"/>
        <item m="1" x="794"/>
        <item m="1" x="701"/>
        <item m="1" x="102"/>
        <item m="1" x="889"/>
        <item m="1" x="798"/>
        <item m="1" x="648"/>
        <item m="1" x="744"/>
        <item m="1" x="809"/>
        <item m="1" x="30"/>
        <item m="1" x="339"/>
        <item m="1" x="499"/>
        <item m="1" x="557"/>
        <item m="1" x="356"/>
        <item m="1" x="180"/>
        <item m="1" x="741"/>
        <item m="1" x="179"/>
        <item m="1" x="619"/>
        <item m="1" x="546"/>
        <item m="1" x="613"/>
        <item m="1" x="633"/>
        <item m="1" x="425"/>
        <item m="1" x="56"/>
        <item m="1" x="936"/>
        <item m="1" x="675"/>
        <item x="21"/>
        <item m="1" x="694"/>
        <item m="1" x="830"/>
        <item m="1" x="590"/>
        <item m="1" x="962"/>
        <item m="1" x="919"/>
        <item m="1" x="579"/>
        <item m="1" x="329"/>
        <item m="1" x="233"/>
        <item m="1" x="68"/>
        <item x="22"/>
        <item m="1" x="402"/>
        <item m="1" x="420"/>
        <item m="1" x="646"/>
        <item m="1" x="972"/>
        <item m="1" x="476"/>
        <item m="1" x="802"/>
        <item m="1" x="100"/>
        <item m="1" x="522"/>
        <item m="1" x="556"/>
        <item m="1" x="908"/>
        <item m="1" x="931"/>
        <item m="1" x="909"/>
        <item m="1" x="367"/>
        <item m="1" x="276"/>
        <item m="1" x="231"/>
        <item m="1" x="66"/>
        <item m="1" x="229"/>
        <item x="23"/>
        <item x="24"/>
        <item m="1" x="733"/>
        <item m="1" x="248"/>
        <item m="1" x="191"/>
        <item m="1" x="651"/>
        <item m="1" x="865"/>
        <item m="1" x="181"/>
        <item m="1" x="957"/>
        <item m="1" x="369"/>
        <item m="1" x="623"/>
        <item m="1" x="564"/>
        <item m="1" x="138"/>
        <item m="1" x="727"/>
        <item m="1" x="184"/>
        <item m="1" x="714"/>
        <item m="1" x="473"/>
        <item m="1" x="740"/>
        <item m="1" x="285"/>
        <item m="1" x="513"/>
        <item m="1" x="682"/>
        <item m="1" x="89"/>
        <item m="1" x="921"/>
        <item m="1" x="853"/>
        <item m="1" x="783"/>
        <item m="1" x="150"/>
        <item m="1" x="769"/>
        <item m="1" x="141"/>
        <item m="1" x="658"/>
        <item m="1" x="340"/>
        <item m="1" x="437"/>
        <item m="1" x="787"/>
        <item m="1" x="587"/>
        <item m="1" x="433"/>
        <item m="1" x="969"/>
        <item m="1" x="952"/>
        <item m="1" x="763"/>
        <item m="1" x="484"/>
        <item m="1" x="70"/>
        <item m="1" x="750"/>
        <item m="1" x="774"/>
        <item m="1" x="775"/>
        <item m="1" x="858"/>
        <item m="1" x="151"/>
        <item m="1" x="469"/>
        <item m="1" x="263"/>
        <item m="1" x="264"/>
        <item m="1" x="929"/>
        <item m="1" x="870"/>
        <item m="1" x="851"/>
        <item m="1" x="464"/>
        <item m="1" x="914"/>
        <item m="1" x="385"/>
        <item m="1" x="596"/>
        <item m="1" x="792"/>
        <item m="1" x="75"/>
        <item m="1" x="307"/>
        <item m="1" x="96"/>
        <item m="1" x="592"/>
        <item m="1" x="528"/>
        <item m="1" x="560"/>
        <item m="1" x="967"/>
        <item m="1" x="629"/>
        <item m="1" x="854"/>
        <item m="1" x="142"/>
        <item m="1" x="441"/>
        <item m="1" x="882"/>
        <item m="1" x="136"/>
        <item m="1" x="940"/>
        <item m="1" x="519"/>
        <item m="1" x="663"/>
        <item m="1" x="611"/>
        <item m="1" x="35"/>
        <item m="1" x="103"/>
        <item m="1" x="109"/>
        <item m="1" x="724"/>
        <item m="1" x="510"/>
        <item m="1" x="331"/>
        <item m="1" x="78"/>
        <item m="1" x="944"/>
        <item m="1" x="684"/>
        <item m="1" x="212"/>
        <item m="1" x="574"/>
        <item m="1" x="470"/>
        <item m="1" x="966"/>
        <item m="1" x="886"/>
        <item m="1" x="407"/>
        <item m="1" x="286"/>
        <item m="1" x="382"/>
        <item m="1" x="122"/>
        <item m="1" x="828"/>
        <item m="1" x="607"/>
        <item m="1" x="924"/>
        <item m="1" x="39"/>
        <item m="1" x="662"/>
        <item m="1" x="902"/>
        <item m="1" x="632"/>
        <item m="1" x="271"/>
        <item m="1" x="93"/>
        <item m="1" x="259"/>
        <item m="1" x="129"/>
        <item m="1" x="260"/>
        <item m="1" x="558"/>
        <item m="1" x="920"/>
        <item m="1" x="444"/>
        <item m="1" x="604"/>
        <item m="1" x="429"/>
        <item m="1" x="735"/>
        <item m="1" x="703"/>
        <item m="1" x="322"/>
        <item m="1" x="845"/>
        <item m="1" x="438"/>
        <item m="1" x="566"/>
        <item m="1" x="687"/>
        <item m="1" x="261"/>
        <item m="1" x="139"/>
        <item m="1" x="965"/>
        <item m="1" x="110"/>
        <item m="1" x="696"/>
        <item m="1" x="955"/>
        <item m="1" x="888"/>
        <item m="1" x="953"/>
        <item m="1" x="918"/>
        <item m="1" x="295"/>
        <item m="1" x="243"/>
        <item m="1" x="477"/>
        <item m="1" x="350"/>
        <item m="1" x="959"/>
        <item m="1" x="728"/>
        <item m="1" x="880"/>
        <item m="1" x="83"/>
        <item m="1" x="375"/>
        <item m="1" x="288"/>
        <item m="1" x="92"/>
        <item m="1" x="589"/>
        <item m="1" x="511"/>
        <item m="1" x="822"/>
        <item m="1" x="252"/>
        <item m="1" x="352"/>
        <item m="1" x="549"/>
        <item m="1" x="465"/>
        <item m="1" x="844"/>
        <item m="1" x="495"/>
        <item m="1" x="304"/>
        <item m="1" x="935"/>
        <item m="1" x="747"/>
        <item m="1" x="934"/>
        <item m="1" x="933"/>
        <item m="1" x="161"/>
        <item m="1" x="554"/>
        <item m="1" x="207"/>
        <item m="1" x="761"/>
        <item m="1" x="856"/>
        <item m="1" x="353"/>
        <item m="1" x="130"/>
        <item m="1" x="33"/>
        <item m="1" x="269"/>
        <item m="1" x="895"/>
        <item m="1" x="250"/>
        <item m="1" x="380"/>
        <item m="1" x="917"/>
        <item m="1" x="565"/>
        <item m="1" x="667"/>
        <item m="1" x="300"/>
        <item m="1" x="608"/>
        <item m="1" x="116"/>
        <item m="1" x="487"/>
        <item m="1" x="321"/>
        <item m="1" x="655"/>
        <item m="1" x="366"/>
        <item m="1" x="414"/>
        <item m="1" x="287"/>
        <item m="1" x="223"/>
        <item m="1" x="647"/>
        <item m="1" x="804"/>
        <item m="1" x="166"/>
        <item m="1" x="137"/>
        <item m="1" x="874"/>
        <item m="1" x="115"/>
        <item m="1" x="730"/>
        <item m="1" x="688"/>
        <item m="1" x="462"/>
        <item m="1" x="753"/>
        <item m="1" x="506"/>
        <item m="1" x="551"/>
        <item m="1" x="525"/>
        <item m="1" x="170"/>
        <item m="1" x="825"/>
        <item m="1" x="759"/>
        <item m="1" x="204"/>
        <item m="1" x="342"/>
        <item m="1" x="81"/>
        <item m="1" x="467"/>
        <item m="1" x="67"/>
        <item m="1" x="106"/>
        <item m="1" x="72"/>
        <item m="1" x="898"/>
        <item m="1" x="290"/>
        <item m="1" x="542"/>
        <item m="1" x="550"/>
        <item m="1" x="82"/>
        <item m="1" x="725"/>
        <item m="1" x="344"/>
        <item m="1" x="963"/>
        <item m="1" x="480"/>
        <item x="8"/>
        <item x="7"/>
        <item x="18"/>
        <item m="1" x="797"/>
        <item m="1" x="278"/>
        <item m="1" x="267"/>
        <item m="1" x="790"/>
        <item m="1" x="256"/>
        <item m="1" x="799"/>
        <item m="1" x="297"/>
        <item m="1" x="37"/>
        <item m="1" x="885"/>
        <item m="1" x="517"/>
        <item m="1" x="712"/>
        <item m="1" x="570"/>
        <item m="1" x="454"/>
        <item m="1" x="298"/>
        <item m="1" x="435"/>
        <item m="1" x="521"/>
        <item m="1" x="389"/>
        <item m="1" x="220"/>
        <item m="1" x="927"/>
        <item m="1" x="199"/>
        <item m="1" x="303"/>
        <item m="1" x="879"/>
        <item m="1" x="404"/>
        <item m="1" x="374"/>
        <item m="1" x="780"/>
        <item m="1" x="491"/>
        <item m="1" x="211"/>
        <item m="1" x="689"/>
        <item m="1" x="410"/>
        <item m="1" x="430"/>
        <item m="1" x="423"/>
        <item m="1" x="48"/>
        <item m="1" x="481"/>
        <item m="1" x="266"/>
        <item m="1" x="154"/>
        <item m="1" x="954"/>
        <item m="1" x="475"/>
        <item m="1" x="157"/>
        <item m="1" x="801"/>
        <item m="1" x="428"/>
        <item m="1" x="457"/>
        <item m="1" x="64"/>
        <item m="1" x="189"/>
        <item m="1" x="742"/>
        <item m="1" x="398"/>
        <item m="1" x="520"/>
        <item m="1" x="73"/>
        <item m="1" x="504"/>
        <item m="1" x="644"/>
        <item m="1" x="190"/>
        <item m="1" x="294"/>
        <item m="1" x="206"/>
        <item m="1" x="315"/>
        <item m="1" x="301"/>
        <item m="1" x="131"/>
        <item m="1" x="867"/>
        <item m="1" x="713"/>
        <item m="1" x="486"/>
        <item m="1" x="54"/>
        <item m="1" x="593"/>
        <item m="1" x="823"/>
        <item m="1" x="691"/>
        <item m="1" x="412"/>
        <item m="1" x="448"/>
        <item m="1" x="610"/>
        <item m="1" x="217"/>
        <item m="1" x="756"/>
        <item m="1" x="527"/>
        <item m="1" x="432"/>
        <item m="1" x="690"/>
        <item m="1" x="654"/>
        <item m="1" x="618"/>
        <item m="1" x="584"/>
        <item m="1" x="843"/>
        <item m="1" x="599"/>
        <item m="1" x="60"/>
        <item m="1" x="49"/>
        <item m="1" x="209"/>
        <item m="1" x="612"/>
        <item m="1" x="251"/>
        <item m="1" x="597"/>
        <item m="1" x="816"/>
        <item m="1" x="270"/>
        <item m="1" x="218"/>
        <item m="1" x="601"/>
        <item m="1" x="569"/>
        <item m="1" x="314"/>
        <item m="1" x="309"/>
        <item m="1" x="815"/>
        <item m="1" x="345"/>
        <item m="1" x="677"/>
        <item m="1" x="594"/>
        <item m="1" x="852"/>
        <item m="1" x="891"/>
        <item m="1" x="105"/>
        <item m="1" x="939"/>
        <item m="1" x="541"/>
        <item m="1" x="360"/>
        <item m="1" x="784"/>
        <item m="1" x="120"/>
        <item m="1" x="860"/>
        <item m="1" x="685"/>
        <item m="1" x="357"/>
        <item m="1" x="333"/>
        <item m="1" x="310"/>
        <item m="1" x="377"/>
        <item m="1" x="758"/>
        <item m="1" x="305"/>
        <item m="1" x="43"/>
        <item m="1" x="862"/>
        <item m="1" x="778"/>
        <item m="1" x="502"/>
        <item m="1" x="406"/>
        <item m="1" x="811"/>
        <item m="1" x="478"/>
        <item m="1" x="442"/>
        <item m="1" x="133"/>
        <item m="1" x="390"/>
        <item m="1" x="526"/>
        <item m="1" x="494"/>
        <item m="1" x="501"/>
        <item m="1" x="52"/>
        <item m="1" x="146"/>
        <item m="1" x="293"/>
        <item m="1" x="216"/>
        <item m="1" x="776"/>
        <item m="1" x="779"/>
        <item m="1" x="704"/>
        <item m="1" x="729"/>
        <item m="1" x="280"/>
        <item m="1" x="951"/>
        <item m="1" x="419"/>
        <item m="1" x="107"/>
        <item m="1" x="762"/>
        <item m="1" x="403"/>
        <item m="1" x="316"/>
        <item m="1" x="239"/>
        <item x="4"/>
        <item m="1" x="26"/>
        <item m="1" x="616"/>
        <item m="1" x="275"/>
        <item m="1" x="641"/>
        <item m="1" x="65"/>
        <item m="1" x="697"/>
        <item m="1" x="666"/>
        <item m="1" x="69"/>
        <item m="1" x="483"/>
        <item m="1" x="795"/>
        <item m="1" x="452"/>
        <item m="1" x="904"/>
        <item m="1" x="731"/>
        <item m="1" x="842"/>
        <item m="1" x="503"/>
        <item m="1" x="79"/>
        <item m="1" x="812"/>
        <item m="1" x="680"/>
        <item m="1" x="708"/>
        <item m="1" x="253"/>
        <item m="1" x="409"/>
        <item m="1" x="745"/>
        <item m="1" x="379"/>
        <item m="1" x="793"/>
        <item m="1" x="197"/>
        <item m="1" x="561"/>
        <item m="1" x="296"/>
        <item m="1" x="125"/>
        <item m="1" x="636"/>
        <item m="1" x="659"/>
        <item m="1" x="459"/>
        <item m="1" x="539"/>
        <item m="1" x="540"/>
        <item m="1" x="534"/>
        <item m="1" x="850"/>
        <item m="1" x="208"/>
        <item m="1" x="864"/>
        <item m="1" x="925"/>
        <item m="1" x="171"/>
        <item m="1" x="86"/>
        <item m="1" x="168"/>
        <item m="1" x="617"/>
        <item m="1" x="585"/>
        <item m="1" x="230"/>
        <item m="1" x="868"/>
        <item m="1" x="683"/>
        <item m="1" x="42"/>
        <item m="1" x="159"/>
        <item m="1" x="814"/>
        <item m="1" x="413"/>
        <item m="1" x="686"/>
        <item m="1" x="665"/>
        <item m="1" x="643"/>
        <item m="1" x="516"/>
        <item m="1" x="400"/>
        <item m="1" x="370"/>
        <item m="1" x="62"/>
        <item m="1" x="192"/>
        <item m="1" x="829"/>
        <item m="1" x="905"/>
        <item m="1" x="567"/>
        <item m="1" x="945"/>
        <item m="1" x="95"/>
        <item m="1" x="609"/>
        <item m="1" x="678"/>
        <item m="1" x="896"/>
        <item m="1" x="767"/>
        <item m="1" x="705"/>
        <item m="1" x="912"/>
        <item m="1" x="649"/>
        <item m="1" x="537"/>
        <item m="1" x="177"/>
        <item m="1" x="573"/>
        <item m="1" x="789"/>
        <item m="1" x="973"/>
        <item m="1" x="738"/>
        <item m="1" x="326"/>
        <item m="1" x="580"/>
        <item m="1" x="941"/>
        <item m="1" x="523"/>
        <item m="1" x="376"/>
        <item m="1" x="508"/>
        <item m="1" x="408"/>
        <item m="1" x="906"/>
        <item m="1" x="531"/>
        <item m="1" x="878"/>
        <item m="1" x="602"/>
        <item m="1" x="272"/>
        <item m="1" x="143"/>
        <item m="1" x="41"/>
        <item m="1" x="887"/>
        <item m="1" x="58"/>
        <item m="1" x="507"/>
        <item m="1" x="156"/>
        <item m="1" x="871"/>
        <item m="1" x="948"/>
        <item m="1" x="576"/>
        <item m="1" x="861"/>
        <item m="1" x="937"/>
        <item m="1" x="533"/>
        <item m="1" x="848"/>
        <item m="1" x="183"/>
        <item m="1" x="807"/>
        <item m="1" x="51"/>
        <item m="1" x="634"/>
        <item m="1" x="323"/>
        <item m="1" x="391"/>
        <item m="1" x="943"/>
        <item m="1" x="788"/>
        <item t="default"/>
      </items>
    </pivotField>
    <pivotField compact="0" outline="0" showAll="0"/>
    <pivotField dataField="1" compact="0" numFmtId="1"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numFmtId="1" outline="0" showAll="0"/>
    <pivotField compact="0" numFmtId="9" outline="0" showAl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9" outline="0" showAll="0"/>
    <pivotField compact="0" numFmtId="1" outline="0" showAll="0"/>
    <pivotField compact="0" numFmtId="1"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7"/>
  </rowFields>
  <rowItems count="26">
    <i>
      <x v="21"/>
    </i>
    <i>
      <x v="38"/>
    </i>
    <i>
      <x v="41"/>
    </i>
    <i>
      <x v="42"/>
    </i>
    <i>
      <x v="69"/>
    </i>
    <i>
      <x v="70"/>
    </i>
    <i>
      <x v="177"/>
    </i>
    <i>
      <x v="186"/>
    </i>
    <i>
      <x v="270"/>
    </i>
    <i>
      <x v="339"/>
    </i>
    <i>
      <x v="340"/>
    </i>
    <i>
      <x v="344"/>
    </i>
    <i>
      <x v="357"/>
    </i>
    <i>
      <x v="359"/>
    </i>
    <i>
      <x v="360"/>
    </i>
    <i>
      <x v="428"/>
    </i>
    <i>
      <x v="460"/>
    </i>
    <i>
      <x v="491"/>
    </i>
    <i>
      <x v="501"/>
    </i>
    <i>
      <x v="519"/>
    </i>
    <i>
      <x v="520"/>
    </i>
    <i>
      <x v="724"/>
    </i>
    <i>
      <x v="725"/>
    </i>
    <i>
      <x v="726"/>
    </i>
    <i>
      <x v="864"/>
    </i>
    <i t="grand">
      <x/>
    </i>
  </rowItems>
  <colFields count="1">
    <field x="-2"/>
  </colFields>
  <colItems count="4">
    <i>
      <x/>
    </i>
    <i i="1">
      <x v="1"/>
    </i>
    <i i="2">
      <x v="2"/>
    </i>
    <i i="3">
      <x v="3"/>
    </i>
  </colItems>
  <pageFields count="3">
    <pageField fld="0" item="11" hier="-1"/>
    <pageField fld="5" hier="-1"/>
    <pageField fld="4" hier="-1"/>
  </pageFields>
  <dataFields count="4">
    <dataField name="Total Population" fld="9" baseField="0" baseItem="0"/>
    <dataField name="# of People adopt basic personal and community hygiene practices" fld="89" baseField="0" baseItem="0"/>
    <dataField name="# of people access to functioning  sanitation facilities" fld="79" baseField="0" baseItem="0"/>
    <dataField name="# of people Equitable and continuous access to sufficient quantity of domestic water" fld="72" baseField="0" baseItem="0"/>
  </dataFields>
  <formats count="25">
    <format dxfId="30">
      <pivotArea field="4" type="button" dataOnly="0" labelOnly="1" outline="0" axis="axisPage" fieldPosition="2"/>
    </format>
    <format dxfId="29">
      <pivotArea field="5" type="button" dataOnly="0" labelOnly="1" outline="0" axis="axisPage" fieldPosition="1"/>
    </format>
    <format dxfId="28">
      <pivotArea dataOnly="0" labelOnly="1" outline="0" fieldPosition="0">
        <references count="1">
          <reference field="4294967294" count="1">
            <x v="0"/>
          </reference>
        </references>
      </pivotArea>
    </format>
    <format dxfId="27">
      <pivotArea field="4" type="button" dataOnly="0" labelOnly="1" outline="0" axis="axisPage" fieldPosition="2"/>
    </format>
    <format dxfId="26">
      <pivotArea field="5" type="button" dataOnly="0" labelOnly="1" outline="0" axis="axisPage" fieldPosition="1"/>
    </format>
    <format dxfId="25">
      <pivotArea dataOnly="0" labelOnly="1" outline="0" fieldPosition="0">
        <references count="1">
          <reference field="4294967294" count="1">
            <x v="0"/>
          </reference>
        </references>
      </pivotArea>
    </format>
    <format dxfId="24">
      <pivotArea field="4" type="button" dataOnly="0" labelOnly="1" outline="0" axis="axisPage" fieldPosition="2"/>
    </format>
    <format dxfId="23">
      <pivotArea field="5" type="button" dataOnly="0" labelOnly="1" outline="0" axis="axisPage" fieldPosition="1"/>
    </format>
    <format dxfId="22">
      <pivotArea dataOnly="0" labelOnly="1" outline="0" fieldPosition="0">
        <references count="1">
          <reference field="4294967294" count="1">
            <x v="0"/>
          </reference>
        </references>
      </pivotArea>
    </format>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0"/>
          </reference>
        </references>
      </pivotArea>
    </format>
    <format dxfId="19">
      <pivotArea type="all" dataOnly="0" outline="0" fieldPosition="0"/>
    </format>
    <format dxfId="18">
      <pivotArea outline="0" collapsedLevelsAreSubtotals="1" fieldPosition="0"/>
    </format>
    <format dxfId="17">
      <pivotArea field="4" type="button" dataOnly="0" labelOnly="1" outline="0" axis="axisPage" fieldPosition="2"/>
    </format>
    <format dxfId="16">
      <pivotArea field="5" type="button" dataOnly="0" labelOnly="1" outline="0" axis="axisPage" fieldPosition="1"/>
    </format>
    <format dxfId="15">
      <pivotArea dataOnly="0" labelOnly="1" outline="0" fieldPosition="0">
        <references count="1">
          <reference field="4" count="0"/>
        </references>
      </pivotArea>
    </format>
    <format dxfId="14">
      <pivotArea dataOnly="0" labelOnly="1" outline="0" fieldPosition="0">
        <references count="1">
          <reference field="4" count="0" defaultSubtotal="1"/>
        </references>
      </pivotArea>
    </format>
    <format dxfId="13">
      <pivotArea dataOnly="0" labelOnly="1" grandRow="1" outline="0" fieldPosition="0"/>
    </format>
    <format dxfId="12">
      <pivotArea dataOnly="0" labelOnly="1" outline="0" fieldPosition="0">
        <references count="2">
          <reference field="4" count="1" selected="0">
            <x v="0"/>
          </reference>
          <reference field="5" count="13">
            <x v="1"/>
            <x v="3"/>
            <x v="4"/>
            <x v="12"/>
            <x v="16"/>
            <x v="17"/>
            <x v="18"/>
            <x v="22"/>
            <x v="28"/>
            <x v="31"/>
            <x v="33"/>
            <x v="34"/>
            <x v="35"/>
          </reference>
        </references>
      </pivotArea>
    </format>
    <format dxfId="11">
      <pivotArea dataOnly="0" labelOnly="1" outline="0" fieldPosition="0">
        <references count="2">
          <reference field="4" count="1" selected="0">
            <x v="0"/>
          </reference>
          <reference field="5" count="13" defaultSubtotal="1">
            <x v="1"/>
            <x v="3"/>
            <x v="4"/>
            <x v="12"/>
            <x v="16"/>
            <x v="17"/>
            <x v="18"/>
            <x v="22"/>
            <x v="28"/>
            <x v="31"/>
            <x v="33"/>
            <x v="34"/>
            <x v="35"/>
          </reference>
        </references>
      </pivotArea>
    </format>
    <format dxfId="10">
      <pivotArea dataOnly="0" labelOnly="1" outline="0" fieldPosition="0">
        <references count="2">
          <reference field="4" count="1" selected="0">
            <x v="1"/>
          </reference>
          <reference field="5" count="12">
            <x v="0"/>
            <x v="2"/>
            <x v="8"/>
            <x v="9"/>
            <x v="14"/>
            <x v="15"/>
            <x v="19"/>
            <x v="21"/>
            <x v="26"/>
            <x v="27"/>
            <x v="30"/>
            <x v="32"/>
          </reference>
        </references>
      </pivotArea>
    </format>
    <format dxfId="9">
      <pivotArea dataOnly="0" labelOnly="1" outline="0" fieldPosition="0">
        <references count="2">
          <reference field="4" count="1" selected="0">
            <x v="1"/>
          </reference>
          <reference field="5" count="12" defaultSubtotal="1">
            <x v="0"/>
            <x v="2"/>
            <x v="8"/>
            <x v="9"/>
            <x v="14"/>
            <x v="15"/>
            <x v="19"/>
            <x v="21"/>
            <x v="26"/>
            <x v="27"/>
            <x v="30"/>
            <x v="32"/>
          </reference>
        </references>
      </pivotArea>
    </format>
    <format dxfId="8">
      <pivotArea dataOnly="0" labelOnly="1" outline="0" fieldPosition="0">
        <references count="2">
          <reference field="4" count="1" selected="0">
            <x v="2"/>
          </reference>
          <reference field="5" count="7">
            <x v="5"/>
            <x v="6"/>
            <x v="7"/>
            <x v="13"/>
            <x v="20"/>
            <x v="23"/>
            <x v="24"/>
          </reference>
        </references>
      </pivotArea>
    </format>
    <format dxfId="7">
      <pivotArea dataOnly="0" labelOnly="1" outline="0" fieldPosition="0">
        <references count="2">
          <reference field="4" count="1" selected="0">
            <x v="2"/>
          </reference>
          <reference field="5" count="7" defaultSubtotal="1">
            <x v="5"/>
            <x v="6"/>
            <x v="7"/>
            <x v="13"/>
            <x v="20"/>
            <x v="23"/>
            <x v="24"/>
          </reference>
        </references>
      </pivotArea>
    </format>
    <format dxfId="6">
      <pivotArea dataOnly="0" labelOnly="1" outline="0" fieldPosition="0">
        <references count="1">
          <reference field="4294967294" count="1">
            <x v="0"/>
          </reference>
        </references>
      </pivotArea>
    </format>
  </formats>
  <chartFormats count="5">
    <chartFormat chart="1"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4" format="7" series="1">
      <pivotArea type="data" outline="0" fieldPosition="0">
        <references count="1">
          <reference field="4294967294" count="1" selected="0">
            <x v="1"/>
          </reference>
        </references>
      </pivotArea>
    </chartFormat>
    <chartFormat chart="4" format="8" series="1">
      <pivotArea type="data" outline="0" fieldPosition="0">
        <references count="1">
          <reference field="4294967294" count="1" selected="0">
            <x v="2"/>
          </reference>
        </references>
      </pivotArea>
    </chartFormat>
    <chartFormat chart="4" format="9"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10">
  <location ref="L4:P55" firstHeaderRow="0" firstDataRow="1" firstDataCol="2" rowPageCount="1" colPageCount="1"/>
  <pivotFields count="114">
    <pivotField axis="axisRow" compact="0" outline="0" showAll="0">
      <items count="13">
        <item m="1" x="9"/>
        <item m="1" x="10"/>
        <item m="1" x="3"/>
        <item m="1" x="11"/>
        <item m="1" x="5"/>
        <item m="1" x="6"/>
        <item m="1" x="7"/>
        <item m="1" x="8"/>
        <item m="1" x="2"/>
        <item m="1" x="1"/>
        <item m="1" x="4"/>
        <item x="0"/>
        <item t="default"/>
      </items>
    </pivotField>
    <pivotField compact="0" outline="0" showAll="0" defaultSubtotal="0"/>
    <pivotField compact="0" outline="0" showAll="0" defaultSubtotal="0">
      <items count="42">
        <item m="1" x="24"/>
        <item m="1" x="36"/>
        <item m="1" x="37"/>
        <item x="3"/>
        <item m="1" x="40"/>
        <item x="5"/>
        <item m="1" x="34"/>
        <item m="1" x="9"/>
        <item m="1" x="18"/>
        <item m="1" x="11"/>
        <item x="4"/>
        <item m="1" x="38"/>
        <item m="1" x="31"/>
        <item m="1" x="14"/>
        <item m="1" x="19"/>
        <item m="1" x="12"/>
        <item m="1" x="25"/>
        <item m="1" x="32"/>
        <item m="1" x="29"/>
        <item m="1" x="22"/>
        <item m="1" x="41"/>
        <item m="1" x="16"/>
        <item m="1" x="33"/>
        <item m="1" x="15"/>
        <item m="1" x="30"/>
        <item m="1" x="21"/>
        <item m="1" x="20"/>
        <item m="1" x="17"/>
        <item x="2"/>
        <item x="1"/>
        <item m="1" x="10"/>
        <item x="7"/>
        <item x="6"/>
        <item m="1" x="39"/>
        <item m="1" x="13"/>
        <item x="0"/>
        <item m="1" x="23"/>
        <item m="1" x="27"/>
        <item m="1" x="26"/>
        <item m="1" x="28"/>
        <item m="1" x="35"/>
        <item m="1" x="8"/>
      </items>
    </pivotField>
    <pivotField compact="0" outline="0" showAll="0"/>
    <pivotField compact="0" outline="0" showAll="0"/>
    <pivotField compact="0" outline="0" showAll="0">
      <items count="42">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 t="default"/>
      </items>
    </pivotField>
    <pivotField compact="0" outline="0" showAll="0" defaultSubtotal="0"/>
    <pivotField axis="axisRow" compact="0" outline="0" showAll="0">
      <items count="975">
        <item m="1" x="605"/>
        <item m="1" x="350"/>
        <item m="1" x="477"/>
        <item m="1" x="928"/>
        <item m="1" x="837"/>
        <item m="1" x="881"/>
        <item m="1" x="319"/>
        <item m="1" x="147"/>
        <item m="1" x="321"/>
        <item m="1" x="201"/>
        <item m="1" x="463"/>
        <item m="1" x="99"/>
        <item m="1" x="153"/>
        <item m="1" x="434"/>
        <item m="1" x="563"/>
        <item m="1" x="578"/>
        <item m="1" x="728"/>
        <item m="1" x="334"/>
        <item m="1" x="155"/>
        <item m="1" x="877"/>
        <item m="1" x="771"/>
        <item m="1" x="169"/>
        <item m="1" x="630"/>
        <item m="1" x="396"/>
        <item m="1" x="805"/>
        <item x="0"/>
        <item m="1" x="835"/>
        <item m="1" x="863"/>
        <item m="1" x="240"/>
        <item m="1" x="716"/>
        <item m="1" x="273"/>
        <item m="1" x="291"/>
        <item m="1" x="604"/>
        <item m="1" x="289"/>
        <item m="1" x="955"/>
        <item m="1" x="198"/>
        <item m="1" x="953"/>
        <item m="1" x="118"/>
        <item m="1" x="915"/>
        <item m="1" x="956"/>
        <item m="1" x="642"/>
        <item m="1" x="347"/>
        <item m="1" x="550"/>
        <item m="1" x="965"/>
        <item m="1" x="226"/>
        <item m="1" x="72"/>
        <item m="1" x="259"/>
        <item m="1" x="449"/>
        <item m="1" x="274"/>
        <item x="1"/>
        <item m="1" x="754"/>
        <item m="1" x="824"/>
        <item x="2"/>
        <item x="3"/>
        <item m="1" x="447"/>
        <item m="1" x="709"/>
        <item m="1" x="710"/>
        <item m="1" x="443"/>
        <item m="1" x="611"/>
        <item m="1" x="416"/>
        <item m="1" x="268"/>
        <item m="1" x="598"/>
        <item m="1" x="949"/>
        <item m="1" x="907"/>
        <item m="1" x="639"/>
        <item m="1" x="47"/>
        <item m="1" x="869"/>
        <item m="1" x="300"/>
        <item m="1" x="627"/>
        <item m="1" x="664"/>
        <item m="1" x="61"/>
        <item m="1" x="84"/>
        <item m="1" x="764"/>
        <item m="1" x="839"/>
        <item m="1" x="311"/>
        <item m="1" x="224"/>
        <item m="1" x="306"/>
        <item m="1" x="80"/>
        <item m="1" x="518"/>
        <item m="1" x="260"/>
        <item m="1" x="655"/>
        <item m="1" x="698"/>
        <item m="1" x="44"/>
        <item m="1" x="635"/>
        <item x="5"/>
        <item x="6"/>
        <item m="1" x="88"/>
        <item m="1" x="244"/>
        <item m="1" x="83"/>
        <item m="1" x="827"/>
        <item m="1" x="846"/>
        <item m="1" x="752"/>
        <item m="1" x="450"/>
        <item m="1" x="335"/>
        <item m="1" x="875"/>
        <item m="1" x="514"/>
        <item m="1" x="258"/>
        <item m="1" x="426"/>
        <item m="1" x="718"/>
        <item m="1" x="950"/>
        <item m="1" x="882"/>
        <item m="1" x="893"/>
        <item m="1" x="200"/>
        <item m="1" x="344"/>
        <item m="1" x="913"/>
        <item m="1" x="595"/>
        <item m="1" x="458"/>
        <item m="1" x="845"/>
        <item m="1" x="492"/>
        <item m="1" x="785"/>
        <item m="1" x="91"/>
        <item m="1" x="668"/>
        <item m="1" x="588"/>
        <item m="1" x="892"/>
        <item m="1" x="821"/>
        <item m="1" x="660"/>
        <item m="1" x="497"/>
        <item m="1" x="33"/>
        <item m="1" x="535"/>
        <item m="1" x="59"/>
        <item m="1" x="873"/>
        <item m="1" x="308"/>
        <item m="1" x="387"/>
        <item m="1" x="164"/>
        <item m="1" x="50"/>
        <item m="1" x="489"/>
        <item m="1" x="582"/>
        <item m="1" x="381"/>
        <item m="1" x="453"/>
        <item m="1" x="336"/>
        <item m="1" x="76"/>
        <item m="1" x="838"/>
        <item m="1" x="620"/>
        <item m="1" x="325"/>
        <item m="1" x="338"/>
        <item m="1" x="625"/>
        <item m="1" x="888"/>
        <item m="1" x="87"/>
        <item m="1" x="71"/>
        <item m="1" x="700"/>
        <item m="1" x="558"/>
        <item m="1" x="388"/>
        <item m="1" x="963"/>
        <item m="1" x="203"/>
        <item m="1" x="637"/>
        <item m="1" x="684"/>
        <item m="1" x="299"/>
        <item m="1" x="117"/>
        <item m="1" x="223"/>
        <item m="1" x="647"/>
        <item m="1" x="603"/>
        <item m="1" x="242"/>
        <item m="1" x="149"/>
        <item m="1" x="393"/>
        <item m="1" x="753"/>
        <item m="1" x="234"/>
        <item m="1" x="555"/>
        <item m="1" x="724"/>
        <item m="1" x="922"/>
        <item m="1" x="968"/>
        <item m="1" x="429"/>
        <item m="1" x="822"/>
        <item m="1" x="859"/>
        <item m="1" x="284"/>
        <item m="1" x="566"/>
        <item m="1" x="524"/>
        <item m="1" x="515"/>
        <item m="1" x="757"/>
        <item m="1" x="255"/>
        <item m="1" x="687"/>
        <item m="1" x="202"/>
        <item m="1" x="249"/>
        <item m="1" x="500"/>
        <item m="1" x="674"/>
        <item m="1" x="884"/>
        <item m="1" x="621"/>
        <item m="1" x="112"/>
        <item m="1" x="791"/>
        <item m="1" x="525"/>
        <item m="1" x="825"/>
        <item m="1" x="109"/>
        <item m="1" x="116"/>
        <item m="1" x="290"/>
        <item m="1" x="355"/>
        <item m="1" x="474"/>
        <item m="1" x="281"/>
        <item m="1" x="422"/>
        <item m="1" x="946"/>
        <item m="1" x="359"/>
        <item m="1" x="958"/>
        <item m="1" x="624"/>
        <item m="1" x="225"/>
        <item m="1" x="320"/>
        <item m="1" x="631"/>
        <item m="1" x="364"/>
        <item m="1" x="134"/>
        <item m="1" x="227"/>
        <item m="1" x="152"/>
        <item m="1" x="638"/>
        <item m="1" x="911"/>
        <item m="1" x="161"/>
        <item m="1" x="279"/>
        <item m="1" x="834"/>
        <item m="1" x="930"/>
        <item m="1" x="468"/>
        <item m="1" x="140"/>
        <item m="1" x="924"/>
        <item m="1" x="656"/>
        <item m="1" x="188"/>
        <item m="1" x="715"/>
        <item m="1" x="92"/>
        <item m="1" x="185"/>
        <item m="1" x="804"/>
        <item m="1" x="232"/>
        <item m="1" x="505"/>
        <item m="1" x="942"/>
        <item m="1" x="960"/>
        <item m="1" x="163"/>
        <item x="9"/>
        <item m="1" x="219"/>
        <item m="1" x="670"/>
        <item m="1" x="254"/>
        <item m="1" x="330"/>
        <item m="1" x="748"/>
        <item m="1" x="172"/>
        <item m="1" x="696"/>
        <item m="1" x="110"/>
        <item m="1" x="836"/>
        <item m="1" x="883"/>
        <item x="10"/>
        <item m="1" x="451"/>
        <item m="1" x="841"/>
        <item m="1" x="241"/>
        <item m="1" x="886"/>
        <item m="1" x="97"/>
        <item m="1" x="362"/>
        <item m="1" x="583"/>
        <item m="1" x="46"/>
        <item m="1" x="127"/>
        <item m="1" x="819"/>
        <item m="1" x="509"/>
        <item m="1" x="302"/>
        <item m="1" x="880"/>
        <item m="1" x="247"/>
        <item m="1" x="121"/>
        <item m="1" x="826"/>
        <item m="1" x="78"/>
        <item m="1" x="331"/>
        <item m="1" x="441"/>
        <item m="1" x="142"/>
        <item m="1" x="721"/>
        <item m="1" x="114"/>
        <item m="1" x="559"/>
        <item m="1" x="130"/>
        <item m="1" x="803"/>
        <item m="1" x="103"/>
        <item m="1" x="707"/>
        <item m="1" x="770"/>
        <item m="1" x="93"/>
        <item m="1" x="768"/>
        <item m="1" x="167"/>
        <item m="1" x="971"/>
        <item m="1" x="90"/>
        <item m="1" x="34"/>
        <item m="1" x="777"/>
        <item m="1" x="383"/>
        <item m="1" x="85"/>
        <item m="1" x="606"/>
        <item m="1" x="341"/>
        <item m="1" x="679"/>
        <item m="1" x="372"/>
        <item m="1" x="493"/>
        <item m="1" x="371"/>
        <item m="1" x="628"/>
        <item m="1" x="600"/>
        <item m="1" x="144"/>
        <item m="1" x="622"/>
        <item m="1" x="174"/>
        <item m="1" x="124"/>
        <item m="1" x="632"/>
        <item m="1" x="178"/>
        <item m="1" x="101"/>
        <item m="1" x="160"/>
        <item m="1" x="615"/>
        <item m="1" x="737"/>
        <item m="1" x="786"/>
        <item m="1" x="166"/>
        <item m="1" x="781"/>
        <item m="1" x="212"/>
        <item m="1" x="27"/>
        <item m="1" x="214"/>
        <item m="1" x="115"/>
        <item m="1" x="262"/>
        <item m="1" x="386"/>
        <item m="1" x="695"/>
        <item m="1" x="645"/>
        <item m="1" x="158"/>
        <item m="1" x="108"/>
        <item m="1" x="832"/>
        <item m="1" x="806"/>
        <item m="1" x="238"/>
        <item m="1" x="673"/>
        <item m="1" x="652"/>
        <item m="1" x="739"/>
        <item m="1" x="820"/>
        <item m="1" x="337"/>
        <item m="1" x="415"/>
        <item m="1" x="900"/>
        <item m="1" x="855"/>
        <item m="1" x="755"/>
        <item m="1" x="530"/>
        <item m="1" x="575"/>
        <item m="1" x="36"/>
        <item m="1" x="205"/>
        <item m="1" x="720"/>
        <item m="1" x="813"/>
        <item m="1" x="45"/>
        <item m="1" x="365"/>
        <item m="1" x="479"/>
        <item m="1" x="98"/>
        <item m="1" x="840"/>
        <item m="1" x="252"/>
        <item m="1" x="165"/>
        <item m="1" x="581"/>
        <item m="1" x="175"/>
        <item m="1" x="74"/>
        <item m="1" x="148"/>
        <item x="11"/>
        <item m="1" x="614"/>
        <item m="1" x="265"/>
        <item m="1" x="358"/>
        <item m="1" x="67"/>
        <item m="1" x="304"/>
        <item m="1" x="162"/>
        <item m="1" x="173"/>
        <item m="1" x="328"/>
        <item m="1" x="186"/>
        <item m="1" x="366"/>
        <item m="1" x="932"/>
        <item m="1" x="243"/>
        <item m="1" x="856"/>
        <item m="1" x="916"/>
        <item m="1" x="626"/>
        <item m="1" x="730"/>
        <item m="1" x="761"/>
        <item m="1" x="94"/>
        <item m="1" x="421"/>
        <item m="1" x="195"/>
        <item m="1" x="444"/>
        <item m="1" x="640"/>
        <item m="1" x="586"/>
        <item m="1" x="706"/>
        <item m="1" x="681"/>
        <item m="1" x="221"/>
        <item m="1" x="445"/>
        <item m="1" x="529"/>
        <item m="1" x="111"/>
        <item m="1" x="751"/>
        <item m="1" x="405"/>
        <item m="1" x="318"/>
        <item m="1" x="327"/>
        <item m="1" x="959"/>
        <item m="1" x="532"/>
        <item m="1" x="897"/>
        <item m="1" x="348"/>
        <item m="1" x="854"/>
        <item m="1" x="235"/>
        <item m="1" x="380"/>
        <item m="1" x="354"/>
        <item m="1" x="313"/>
        <item m="1" x="417"/>
        <item m="1" x="176"/>
        <item m="1" x="361"/>
        <item m="1" x="552"/>
        <item m="1" x="466"/>
        <item m="1" x="245"/>
        <item m="1" x="874"/>
        <item m="1" x="833"/>
        <item m="1" x="743"/>
        <item m="1" x="650"/>
        <item m="1" x="920"/>
        <item m="1" x="257"/>
        <item m="1" x="688"/>
        <item m="1" x="746"/>
        <item m="1" x="145"/>
        <item m="1" x="699"/>
        <item m="1" x="890"/>
        <item m="1" x="562"/>
        <item m="1" x="123"/>
        <item m="1" x="395"/>
        <item m="1" x="760"/>
        <item m="1" x="847"/>
        <item m="1" x="236"/>
        <item m="1" x="849"/>
        <item m="1" x="135"/>
        <item m="1" x="553"/>
        <item m="1" x="872"/>
        <item m="1" x="519"/>
        <item m="1" x="38"/>
        <item m="1" x="472"/>
        <item m="1" x="669"/>
        <item m="1" x="565"/>
        <item m="1" x="427"/>
        <item m="1" x="667"/>
        <item m="1" x="732"/>
        <item m="1" x="547"/>
        <item m="1" x="382"/>
        <item m="1" x="193"/>
        <item m="1" x="471"/>
        <item m="1" x="831"/>
        <item m="1" x="222"/>
        <item m="1" x="510"/>
        <item m="1" x="351"/>
        <item m="1" x="895"/>
        <item m="1" x="213"/>
        <item m="1" x="269"/>
        <item m="1" x="759"/>
        <item m="1" x="346"/>
        <item x="12"/>
        <item x="13"/>
        <item m="1" x="866"/>
        <item m="1" x="810"/>
        <item m="1" x="194"/>
        <item x="14"/>
        <item m="1" x="773"/>
        <item m="1" x="210"/>
        <item m="1" x="456"/>
        <item m="1" x="436"/>
        <item m="1" x="766"/>
        <item m="1" x="187"/>
        <item m="1" x="392"/>
        <item m="1" x="119"/>
        <item m="1" x="282"/>
        <item m="1" x="490"/>
        <item m="1" x="363"/>
        <item m="1" x="113"/>
        <item x="15"/>
        <item m="1" x="394"/>
        <item x="16"/>
        <item x="17"/>
        <item m="1" x="312"/>
        <item m="1" x="800"/>
        <item m="1" x="876"/>
        <item m="1" x="228"/>
        <item m="1" x="295"/>
        <item m="1" x="944"/>
        <item m="1" x="923"/>
        <item m="1" x="551"/>
        <item m="1" x="461"/>
        <item m="1" x="702"/>
        <item m="1" x="653"/>
        <item m="1" x="657"/>
        <item m="1" x="237"/>
        <item m="1" x="431"/>
        <item m="1" x="32"/>
        <item m="1" x="53"/>
        <item m="1" x="352"/>
        <item m="1" x="25"/>
        <item m="1" x="902"/>
        <item m="1" x="926"/>
        <item m="1" x="693"/>
        <item m="1" x="782"/>
        <item m="1" x="349"/>
        <item m="1" x="947"/>
        <item m="1" x="373"/>
        <item m="1" x="378"/>
        <item m="1" x="545"/>
        <item m="1" x="439"/>
        <item m="1" x="411"/>
        <item m="1" x="246"/>
        <item m="1" x="574"/>
        <item m="1" x="283"/>
        <item m="1" x="572"/>
        <item m="1" x="467"/>
        <item m="1" x="542"/>
        <item m="1" x="215"/>
        <item m="1" x="77"/>
        <item m="1" x="324"/>
        <item m="1" x="726"/>
        <item m="1" x="170"/>
        <item m="1" x="455"/>
        <item m="1" x="901"/>
        <item m="1" x="460"/>
        <item m="1" x="82"/>
        <item m="1" x="343"/>
        <item m="1" x="498"/>
        <item m="1" x="910"/>
        <item m="1" x="375"/>
        <item m="1" x="725"/>
        <item m="1" x="607"/>
        <item m="1" x="55"/>
        <item m="1" x="796"/>
        <item m="1" x="818"/>
        <item m="1" x="536"/>
        <item m="1" x="128"/>
        <item m="1" x="577"/>
        <item m="1" x="899"/>
        <item m="1" x="196"/>
        <item m="1" x="292"/>
        <item m="1" x="28"/>
        <item m="1" x="182"/>
        <item m="1" x="571"/>
        <item m="1" x="671"/>
        <item m="1" x="277"/>
        <item m="1" x="384"/>
        <item m="1" x="608"/>
        <item m="1" x="446"/>
        <item m="1" x="40"/>
        <item m="1" x="204"/>
        <item m="1" x="35"/>
        <item m="1" x="440"/>
        <item m="1" x="104"/>
        <item m="1" x="485"/>
        <item m="1" x="903"/>
        <item m="1" x="894"/>
        <item m="1" x="342"/>
        <item m="1" x="317"/>
        <item m="1" x="591"/>
        <item m="1" x="917"/>
        <item m="1" x="672"/>
        <item m="1" x="723"/>
        <item m="1" x="543"/>
        <item m="1" x="711"/>
        <item m="1" x="749"/>
        <item m="1" x="399"/>
        <item x="19"/>
        <item m="1" x="568"/>
        <item m="1" x="765"/>
        <item m="1" x="772"/>
        <item m="1" x="482"/>
        <item m="1" x="29"/>
        <item m="1" x="126"/>
        <item m="1" x="397"/>
        <item m="1" x="488"/>
        <item m="1" x="964"/>
        <item m="1" x="961"/>
        <item m="1" x="544"/>
        <item m="1" x="401"/>
        <item m="1" x="938"/>
        <item m="1" x="676"/>
        <item m="1" x="970"/>
        <item m="1" x="132"/>
        <item m="1" x="719"/>
        <item m="1" x="31"/>
        <item m="1" x="496"/>
        <item m="1" x="548"/>
        <item m="1" x="368"/>
        <item m="1" x="692"/>
        <item m="1" x="512"/>
        <item m="1" x="549"/>
        <item m="1" x="139"/>
        <item m="1" x="261"/>
        <item m="1" x="322"/>
        <item m="1" x="438"/>
        <item m="1" x="735"/>
        <item m="1" x="857"/>
        <item m="1" x="57"/>
        <item m="1" x="808"/>
        <item m="1" x="722"/>
        <item m="1" x="63"/>
        <item m="1" x="817"/>
        <item m="1" x="717"/>
        <item m="1" x="332"/>
        <item x="20"/>
        <item m="1" x="661"/>
        <item m="1" x="418"/>
        <item m="1" x="734"/>
        <item m="1" x="538"/>
        <item m="1" x="106"/>
        <item m="1" x="424"/>
        <item m="1" x="736"/>
        <item m="1" x="129"/>
        <item m="1" x="794"/>
        <item m="1" x="701"/>
        <item m="1" x="966"/>
        <item m="1" x="207"/>
        <item m="1" x="102"/>
        <item m="1" x="889"/>
        <item m="1" x="798"/>
        <item m="1" x="648"/>
        <item m="1" x="629"/>
        <item m="1" x="744"/>
        <item m="1" x="809"/>
        <item m="1" x="137"/>
        <item m="1" x="30"/>
        <item m="1" x="339"/>
        <item m="1" x="940"/>
        <item m="1" x="499"/>
        <item m="1" x="557"/>
        <item m="1" x="356"/>
        <item m="1" x="180"/>
        <item m="1" x="741"/>
        <item m="1" x="179"/>
        <item m="1" x="619"/>
        <item m="1" x="546"/>
        <item m="1" x="613"/>
        <item m="1" x="633"/>
        <item m="1" x="425"/>
        <item m="1" x="56"/>
        <item m="1" x="470"/>
        <item m="1" x="936"/>
        <item m="1" x="675"/>
        <item x="21"/>
        <item m="1" x="933"/>
        <item m="1" x="934"/>
        <item m="1" x="747"/>
        <item m="1" x="935"/>
        <item m="1" x="694"/>
        <item m="1" x="830"/>
        <item m="1" x="39"/>
        <item m="1" x="590"/>
        <item m="1" x="962"/>
        <item m="1" x="919"/>
        <item m="1" x="579"/>
        <item m="1" x="414"/>
        <item m="1" x="329"/>
        <item m="1" x="233"/>
        <item m="1" x="68"/>
        <item x="22"/>
        <item m="1" x="402"/>
        <item m="1" x="420"/>
        <item m="1" x="646"/>
        <item m="1" x="972"/>
        <item m="1" x="898"/>
        <item m="1" x="476"/>
        <item m="1" x="802"/>
        <item m="1" x="100"/>
        <item m="1" x="288"/>
        <item m="1" x="522"/>
        <item m="1" x="556"/>
        <item m="1" x="908"/>
        <item m="1" x="931"/>
        <item m="1" x="909"/>
        <item m="1" x="589"/>
        <item m="1" x="511"/>
        <item m="1" x="367"/>
        <item m="1" x="276"/>
        <item m="1" x="231"/>
        <item m="1" x="66"/>
        <item m="1" x="229"/>
        <item x="23"/>
        <item x="24"/>
        <item m="1" x="733"/>
        <item m="1" x="248"/>
        <item m="1" x="480"/>
        <item m="1" x="250"/>
        <item m="1" x="407"/>
        <item m="1" x="81"/>
        <item m="1" x="191"/>
        <item m="1" x="651"/>
        <item m="1" x="865"/>
        <item m="1" x="181"/>
        <item m="1" x="353"/>
        <item m="1" x="957"/>
        <item m="1" x="369"/>
        <item m="1" x="287"/>
        <item m="1" x="663"/>
        <item m="1" x="623"/>
        <item m="1" x="462"/>
        <item m="1" x="136"/>
        <item m="1" x="564"/>
        <item m="1" x="495"/>
        <item m="1" x="138"/>
        <item m="1" x="727"/>
        <item m="1" x="184"/>
        <item m="1" x="714"/>
        <item m="1" x="473"/>
        <item m="1" x="740"/>
        <item m="1" x="285"/>
        <item m="1" x="506"/>
        <item m="1" x="513"/>
        <item m="1" x="122"/>
        <item m="1" x="682"/>
        <item m="1" x="89"/>
        <item m="1" x="921"/>
        <item m="1" x="918"/>
        <item m="1" x="853"/>
        <item m="1" x="783"/>
        <item m="1" x="286"/>
        <item m="1" x="150"/>
        <item m="1" x="769"/>
        <item m="1" x="141"/>
        <item m="1" x="828"/>
        <item m="1" x="658"/>
        <item m="1" x="554"/>
        <item m="1" x="340"/>
        <item m="1" x="437"/>
        <item m="1" x="787"/>
        <item m="1" x="662"/>
        <item m="1" x="587"/>
        <item m="1" x="433"/>
        <item m="1" x="969"/>
        <item m="1" x="952"/>
        <item m="1" x="763"/>
        <item m="1" x="484"/>
        <item m="1" x="70"/>
        <item m="1" x="750"/>
        <item m="1" x="774"/>
        <item m="1" x="775"/>
        <item m="1" x="858"/>
        <item m="1" x="151"/>
        <item m="1" x="469"/>
        <item m="1" x="263"/>
        <item m="1" x="264"/>
        <item m="1" x="929"/>
        <item m="1" x="870"/>
        <item m="1" x="487"/>
        <item m="1" x="851"/>
        <item m="1" x="464"/>
        <item m="1" x="914"/>
        <item m="1" x="465"/>
        <item m="1" x="844"/>
        <item m="1" x="385"/>
        <item m="1" x="703"/>
        <item m="1" x="596"/>
        <item m="1" x="792"/>
        <item m="1" x="75"/>
        <item m="1" x="307"/>
        <item m="1" x="96"/>
        <item m="1" x="592"/>
        <item m="1" x="528"/>
        <item m="1" x="560"/>
        <item m="1" x="967"/>
        <item m="1" x="271"/>
        <item x="8"/>
        <item x="7"/>
        <item x="18"/>
        <item m="1" x="797"/>
        <item m="1" x="278"/>
        <item m="1" x="267"/>
        <item m="1" x="790"/>
        <item m="1" x="256"/>
        <item m="1" x="799"/>
        <item m="1" x="297"/>
        <item m="1" x="37"/>
        <item m="1" x="885"/>
        <item m="1" x="517"/>
        <item m="1" x="712"/>
        <item m="1" x="570"/>
        <item m="1" x="454"/>
        <item m="1" x="298"/>
        <item m="1" x="435"/>
        <item m="1" x="521"/>
        <item m="1" x="389"/>
        <item m="1" x="220"/>
        <item m="1" x="927"/>
        <item m="1" x="199"/>
        <item m="1" x="303"/>
        <item m="1" x="879"/>
        <item m="1" x="404"/>
        <item m="1" x="374"/>
        <item m="1" x="780"/>
        <item m="1" x="491"/>
        <item m="1" x="211"/>
        <item m="1" x="689"/>
        <item m="1" x="410"/>
        <item m="1" x="430"/>
        <item m="1" x="423"/>
        <item m="1" x="48"/>
        <item m="1" x="481"/>
        <item m="1" x="266"/>
        <item m="1" x="154"/>
        <item m="1" x="954"/>
        <item m="1" x="475"/>
        <item m="1" x="157"/>
        <item m="1" x="801"/>
        <item m="1" x="428"/>
        <item m="1" x="457"/>
        <item m="1" x="64"/>
        <item m="1" x="189"/>
        <item m="1" x="742"/>
        <item m="1" x="398"/>
        <item m="1" x="520"/>
        <item m="1" x="73"/>
        <item m="1" x="504"/>
        <item m="1" x="644"/>
        <item m="1" x="190"/>
        <item m="1" x="294"/>
        <item m="1" x="206"/>
        <item m="1" x="315"/>
        <item m="1" x="301"/>
        <item m="1" x="131"/>
        <item m="1" x="867"/>
        <item m="1" x="713"/>
        <item m="1" x="486"/>
        <item m="1" x="54"/>
        <item m="1" x="593"/>
        <item m="1" x="823"/>
        <item m="1" x="691"/>
        <item m="1" x="412"/>
        <item m="1" x="448"/>
        <item m="1" x="610"/>
        <item m="1" x="217"/>
        <item m="1" x="756"/>
        <item m="1" x="527"/>
        <item m="1" x="432"/>
        <item m="1" x="690"/>
        <item m="1" x="654"/>
        <item m="1" x="618"/>
        <item m="1" x="584"/>
        <item m="1" x="843"/>
        <item m="1" x="599"/>
        <item m="1" x="60"/>
        <item m="1" x="49"/>
        <item m="1" x="209"/>
        <item m="1" x="612"/>
        <item m="1" x="251"/>
        <item m="1" x="597"/>
        <item m="1" x="816"/>
        <item m="1" x="270"/>
        <item m="1" x="218"/>
        <item m="1" x="601"/>
        <item m="1" x="569"/>
        <item m="1" x="314"/>
        <item m="1" x="309"/>
        <item m="1" x="815"/>
        <item m="1" x="345"/>
        <item m="1" x="677"/>
        <item m="1" x="594"/>
        <item m="1" x="852"/>
        <item m="1" x="891"/>
        <item m="1" x="105"/>
        <item m="1" x="939"/>
        <item m="1" x="541"/>
        <item m="1" x="360"/>
        <item m="1" x="784"/>
        <item m="1" x="120"/>
        <item m="1" x="860"/>
        <item m="1" x="685"/>
        <item m="1" x="357"/>
        <item m="1" x="333"/>
        <item m="1" x="310"/>
        <item m="1" x="377"/>
        <item m="1" x="758"/>
        <item m="1" x="305"/>
        <item m="1" x="43"/>
        <item m="1" x="862"/>
        <item m="1" x="778"/>
        <item m="1" x="502"/>
        <item m="1" x="406"/>
        <item m="1" x="811"/>
        <item m="1" x="478"/>
        <item m="1" x="442"/>
        <item m="1" x="133"/>
        <item m="1" x="390"/>
        <item m="1" x="526"/>
        <item m="1" x="494"/>
        <item m="1" x="501"/>
        <item m="1" x="52"/>
        <item m="1" x="146"/>
        <item m="1" x="293"/>
        <item m="1" x="216"/>
        <item m="1" x="776"/>
        <item m="1" x="779"/>
        <item m="1" x="704"/>
        <item m="1" x="729"/>
        <item m="1" x="280"/>
        <item m="1" x="951"/>
        <item m="1" x="419"/>
        <item m="1" x="107"/>
        <item m="1" x="762"/>
        <item m="1" x="403"/>
        <item m="1" x="316"/>
        <item m="1" x="239"/>
        <item x="4"/>
        <item m="1" x="26"/>
        <item m="1" x="616"/>
        <item m="1" x="275"/>
        <item m="1" x="641"/>
        <item m="1" x="65"/>
        <item m="1" x="697"/>
        <item m="1" x="666"/>
        <item m="1" x="69"/>
        <item m="1" x="483"/>
        <item m="1" x="795"/>
        <item m="1" x="452"/>
        <item m="1" x="904"/>
        <item m="1" x="731"/>
        <item m="1" x="842"/>
        <item m="1" x="503"/>
        <item m="1" x="79"/>
        <item m="1" x="812"/>
        <item m="1" x="680"/>
        <item m="1" x="708"/>
        <item m="1" x="253"/>
        <item m="1" x="409"/>
        <item m="1" x="745"/>
        <item m="1" x="379"/>
        <item m="1" x="793"/>
        <item m="1" x="197"/>
        <item m="1" x="561"/>
        <item m="1" x="296"/>
        <item m="1" x="125"/>
        <item m="1" x="636"/>
        <item m="1" x="659"/>
        <item m="1" x="459"/>
        <item m="1" x="539"/>
        <item m="1" x="540"/>
        <item m="1" x="534"/>
        <item m="1" x="850"/>
        <item m="1" x="208"/>
        <item m="1" x="864"/>
        <item m="1" x="925"/>
        <item m="1" x="171"/>
        <item m="1" x="86"/>
        <item m="1" x="168"/>
        <item m="1" x="617"/>
        <item m="1" x="585"/>
        <item m="1" x="230"/>
        <item m="1" x="868"/>
        <item m="1" x="683"/>
        <item m="1" x="42"/>
        <item m="1" x="159"/>
        <item m="1" x="814"/>
        <item m="1" x="413"/>
        <item m="1" x="686"/>
        <item m="1" x="665"/>
        <item m="1" x="643"/>
        <item m="1" x="516"/>
        <item m="1" x="400"/>
        <item m="1" x="370"/>
        <item m="1" x="62"/>
        <item m="1" x="192"/>
        <item m="1" x="829"/>
        <item m="1" x="905"/>
        <item m="1" x="567"/>
        <item m="1" x="945"/>
        <item m="1" x="95"/>
        <item m="1" x="609"/>
        <item m="1" x="678"/>
        <item m="1" x="896"/>
        <item m="1" x="767"/>
        <item m="1" x="705"/>
        <item m="1" x="912"/>
        <item m="1" x="649"/>
        <item m="1" x="537"/>
        <item m="1" x="177"/>
        <item m="1" x="573"/>
        <item m="1" x="789"/>
        <item m="1" x="973"/>
        <item m="1" x="738"/>
        <item m="1" x="326"/>
        <item m="1" x="580"/>
        <item m="1" x="941"/>
        <item m="1" x="523"/>
        <item m="1" x="376"/>
        <item m="1" x="508"/>
        <item m="1" x="408"/>
        <item m="1" x="906"/>
        <item m="1" x="531"/>
        <item m="1" x="878"/>
        <item m="1" x="602"/>
        <item m="1" x="272"/>
        <item m="1" x="143"/>
        <item m="1" x="41"/>
        <item m="1" x="887"/>
        <item m="1" x="58"/>
        <item m="1" x="507"/>
        <item m="1" x="156"/>
        <item m="1" x="871"/>
        <item m="1" x="948"/>
        <item m="1" x="576"/>
        <item m="1" x="861"/>
        <item m="1" x="937"/>
        <item m="1" x="533"/>
        <item m="1" x="848"/>
        <item m="1" x="183"/>
        <item m="1" x="807"/>
        <item m="1" x="51"/>
        <item m="1" x="634"/>
        <item m="1" x="323"/>
        <item m="1" x="391"/>
        <item m="1" x="943"/>
        <item m="1" x="788"/>
        <item t="default"/>
      </items>
    </pivotField>
    <pivotField compact="0" outline="0" showAll="0"/>
    <pivotField compact="0" numFmtId="1"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numFmtId="9" outline="0" showAll="0"/>
    <pivotField compact="0" outline="0" showAll="0" defaultSubtotal="0"/>
    <pivotField compact="0" outline="0" showAll="0"/>
    <pivotField compact="0" numFmtId="1" outline="0" showAll="0"/>
    <pivotField compact="0" numFmtId="9" outline="0" showAl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9" outline="0" showAll="0"/>
    <pivotField compact="0" numFmtId="1" outline="0" showAll="0"/>
    <pivotField compact="0" numFmtId="1"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5">
        <item x="0"/>
        <item m="1" x="3"/>
        <item m="1" x="2"/>
        <item m="1" x="1"/>
        <item t="default"/>
      </items>
    </pivotField>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2">
    <field x="7"/>
    <field x="0"/>
  </rowFields>
  <rowItems count="51">
    <i>
      <x v="25"/>
      <x v="11"/>
    </i>
    <i t="default">
      <x v="25"/>
    </i>
    <i>
      <x v="49"/>
      <x v="11"/>
    </i>
    <i t="default">
      <x v="49"/>
    </i>
    <i>
      <x v="52"/>
      <x v="11"/>
    </i>
    <i t="default">
      <x v="52"/>
    </i>
    <i>
      <x v="53"/>
      <x v="11"/>
    </i>
    <i t="default">
      <x v="53"/>
    </i>
    <i>
      <x v="84"/>
      <x v="11"/>
    </i>
    <i t="default">
      <x v="84"/>
    </i>
    <i>
      <x v="85"/>
      <x v="11"/>
    </i>
    <i t="default">
      <x v="85"/>
    </i>
    <i>
      <x v="218"/>
      <x v="11"/>
    </i>
    <i t="default">
      <x v="218"/>
    </i>
    <i>
      <x v="229"/>
      <x v="11"/>
    </i>
    <i t="default">
      <x v="229"/>
    </i>
    <i>
      <x v="327"/>
      <x v="11"/>
    </i>
    <i t="default">
      <x v="327"/>
    </i>
    <i>
      <x v="418"/>
      <x v="11"/>
    </i>
    <i t="default">
      <x v="418"/>
    </i>
    <i>
      <x v="419"/>
      <x v="11"/>
    </i>
    <i t="default">
      <x v="419"/>
    </i>
    <i>
      <x v="423"/>
      <x v="11"/>
    </i>
    <i t="default">
      <x v="423"/>
    </i>
    <i>
      <x v="436"/>
      <x v="11"/>
    </i>
    <i t="default">
      <x v="436"/>
    </i>
    <i>
      <x v="438"/>
      <x v="11"/>
    </i>
    <i t="default">
      <x v="438"/>
    </i>
    <i>
      <x v="439"/>
      <x v="11"/>
    </i>
    <i t="default">
      <x v="439"/>
    </i>
    <i>
      <x v="525"/>
      <x v="11"/>
    </i>
    <i t="default">
      <x v="525"/>
    </i>
    <i>
      <x v="563"/>
      <x v="11"/>
    </i>
    <i t="default">
      <x v="563"/>
    </i>
    <i>
      <x v="602"/>
      <x v="11"/>
    </i>
    <i t="default">
      <x v="602"/>
    </i>
    <i>
      <x v="618"/>
      <x v="11"/>
    </i>
    <i t="default">
      <x v="618"/>
    </i>
    <i>
      <x v="640"/>
      <x v="11"/>
    </i>
    <i t="default">
      <x v="640"/>
    </i>
    <i>
      <x v="641"/>
      <x v="11"/>
    </i>
    <i t="default">
      <x v="641"/>
    </i>
    <i>
      <x v="724"/>
      <x v="11"/>
    </i>
    <i t="default">
      <x v="724"/>
    </i>
    <i>
      <x v="725"/>
      <x v="11"/>
    </i>
    <i t="default">
      <x v="725"/>
    </i>
    <i>
      <x v="726"/>
      <x v="11"/>
    </i>
    <i t="default">
      <x v="726"/>
    </i>
    <i>
      <x v="864"/>
      <x v="11"/>
    </i>
    <i t="default">
      <x v="864"/>
    </i>
    <i t="grand">
      <x/>
    </i>
  </rowItems>
  <colFields count="1">
    <field x="-2"/>
  </colFields>
  <colItems count="3">
    <i>
      <x/>
    </i>
    <i i="1">
      <x v="1"/>
    </i>
    <i i="2">
      <x v="2"/>
    </i>
  </colItems>
  <pageFields count="1">
    <pageField fld="103" hier="-1"/>
  </pageFields>
  <dataFields count="3">
    <dataField name="# of People adopt basic personal and community hygiene practices" fld="89" baseField="0" baseItem="0"/>
    <dataField name="# of people access to functioning  sanitation facilities" fld="79" baseField="0" baseItem="0"/>
    <dataField name="# of people Equitable and continuous access to sufficient quantity of domestic water" fld="72" baseField="0" baseItem="0"/>
  </dataFields>
  <chartFormats count="3">
    <chartFormat chart="3" format="5"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1"/>
          </reference>
        </references>
      </pivotArea>
    </chartFormat>
    <chartFormat chart="3" format="7"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8000000}" name="PivotTable4" cacheId="0" dataOnRows="1" applyNumberFormats="0" applyBorderFormats="0" applyFontFormats="0" applyPatternFormats="0" applyAlignmentFormats="0" applyWidthHeightFormats="1" dataCaption="Values" updatedVersion="6" minRefreshableVersion="3" colGrandTotals="0" itemPrintTitles="1" createdVersion="6" indent="0" showHeaders="0" outline="1" outlineData="1" multipleFieldFilters="0">
  <location ref="C79:D81" firstHeaderRow="0" firstDataRow="0" firstDataCol="1" rowPageCount="4" colPageCount="1"/>
  <pivotFields count="114">
    <pivotField axis="axisPage" subtotalTop="0" showAll="0">
      <items count="13">
        <item m="1" x="10"/>
        <item m="1" x="5"/>
        <item m="1" x="1"/>
        <item m="1" x="3"/>
        <item m="1" x="11"/>
        <item m="1" x="2"/>
        <item m="1" x="9"/>
        <item m="1" x="6"/>
        <item m="1" x="7"/>
        <item m="1" x="8"/>
        <item m="1" x="4"/>
        <item x="0"/>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subtotalTop="0" showAll="0"/>
    <pivotField axis="axisPage" multipleItemSelectionAllowed="1" showAll="0" defaultSubtotal="0">
      <items count="10">
        <item x="0"/>
        <item m="1" x="7"/>
        <item m="1" x="6"/>
        <item h="1" m="1" x="8"/>
        <item h="1" m="1" x="9"/>
        <item h="1" m="1" x="2"/>
        <item h="1" m="1" x="5"/>
        <item h="1" m="1" x="1"/>
        <item h="1" m="1" x="3"/>
        <item h="1" m="1" x="4"/>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dataField="1" showAll="0" defaultSubtotal="0"/>
    <pivotField subtotalTop="0" showAll="0"/>
    <pivotField subtotalTop="0" showAll="0"/>
    <pivotField showAll="0" defaultSubtotal="0"/>
    <pivotField numFmtId="1" subtotalTop="0" showAll="0"/>
    <pivotField subtotalTop="0" showAll="0"/>
    <pivotField numFmtId="9" showAll="0"/>
    <pivotField dataField="1"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dataField="1" numFmtId="1" showAll="0" defaultSubtotal="0"/>
    <pivotField subtotalTop="0" showAll="0"/>
    <pivotField subtotalTop="0" showAll="0"/>
    <pivotField subtotalTop="0" showAll="0"/>
    <pivotField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1"/>
        <item m="1" x="2"/>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3">
    <i>
      <x/>
    </i>
    <i i="1">
      <x v="1"/>
    </i>
    <i i="2">
      <x v="2"/>
    </i>
  </rowItems>
  <colItems count="1">
    <i/>
  </colItems>
  <pageFields count="4">
    <pageField fld="0" item="11" hier="-1"/>
    <pageField fld="103" item="0" hier="-1"/>
    <pageField fld="4" hier="-1"/>
    <pageField fld="6" hier="-1"/>
  </pageFields>
  <dataFields count="3">
    <dataField name=" HRP1" fld="72" baseField="0" baseItem="0"/>
    <dataField name=" HRP2" fld="79" baseField="0" baseItem="0"/>
    <dataField name=" HRP3" fld="89" baseField="0" baseItem="0"/>
  </dataFields>
  <formats count="18">
    <format dxfId="585">
      <pivotArea field="4" type="button" dataOnly="0" labelOnly="1" outline="0" axis="axisPage" fieldPosition="2"/>
    </format>
    <format dxfId="584">
      <pivotArea type="all" dataOnly="0" outline="0" fieldPosition="0"/>
    </format>
    <format dxfId="583">
      <pivotArea field="4" type="button" dataOnly="0" labelOnly="1" outline="0" axis="axisPage" fieldPosition="2"/>
    </format>
    <format dxfId="582">
      <pivotArea type="all" dataOnly="0" outline="0" fieldPosition="0"/>
    </format>
    <format dxfId="581">
      <pivotArea outline="0" collapsedLevelsAreSubtotals="1" fieldPosition="0"/>
    </format>
    <format dxfId="580">
      <pivotArea dataOnly="0" labelOnly="1" grandRow="1" outline="0" fieldPosition="0"/>
    </format>
    <format dxfId="579">
      <pivotArea type="all" dataOnly="0" outline="0" fieldPosition="0"/>
    </format>
    <format dxfId="578">
      <pivotArea outline="0" collapsedLevelsAreSubtotals="1" fieldPosition="0"/>
    </format>
    <format dxfId="577">
      <pivotArea dataOnly="0" labelOnly="1" grandRow="1" outline="0" fieldPosition="0"/>
    </format>
    <format dxfId="576">
      <pivotArea field="4" type="button" dataOnly="0" labelOnly="1" outline="0" axis="axisPage" fieldPosition="2"/>
    </format>
    <format dxfId="575">
      <pivotArea dataOnly="0" labelOnly="1" outline="0" fieldPosition="0">
        <references count="1">
          <reference field="4294967294" count="1">
            <x v="0"/>
          </reference>
        </references>
      </pivotArea>
    </format>
    <format dxfId="574">
      <pivotArea dataOnly="0" labelOnly="1" outline="0" fieldPosition="0">
        <references count="1">
          <reference field="4294967294" count="1">
            <x v="1"/>
          </reference>
        </references>
      </pivotArea>
    </format>
    <format dxfId="573">
      <pivotArea fieldPosition="0">
        <references count="1">
          <reference field="4294967294" count="1">
            <x v="0"/>
          </reference>
        </references>
      </pivotArea>
    </format>
    <format dxfId="572">
      <pivotArea outline="0" collapsedLevelsAreSubtotals="1" fieldPosition="0"/>
    </format>
    <format dxfId="571">
      <pivotArea fieldPosition="0">
        <references count="1">
          <reference field="4294967294" count="1">
            <x v="0"/>
          </reference>
        </references>
      </pivotArea>
    </format>
    <format dxfId="570">
      <pivotArea collapsedLevelsAreSubtotals="1" fieldPosition="0">
        <references count="1">
          <reference field="4294967294" count="1">
            <x v="2"/>
          </reference>
        </references>
      </pivotArea>
    </format>
    <format dxfId="569">
      <pivotArea dataOnly="0" labelOnly="1" outline="0" fieldPosition="0">
        <references count="1">
          <reference field="4294967294" count="1">
            <x v="2"/>
          </reference>
        </references>
      </pivotArea>
    </format>
    <format dxfId="568">
      <pivotArea collapsedLevelsAreSubtotals="1" fieldPosition="0">
        <references count="1">
          <reference field="4294967294" count="1">
            <x v="1"/>
          </reference>
        </references>
      </pivotArea>
    </format>
  </formats>
  <pivotTableStyleInfo name="PivotStyleLight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F315799-61F1-4D5F-97DF-F99E196AC441}" name="PivotTable19"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rowHeaderCaption="Township">
  <location ref="A7:B15" firstHeaderRow="1" firstDataRow="1" firstDataCol="2" rowPageCount="4" colPageCount="1"/>
  <pivotFields count="114">
    <pivotField axis="axisPage" compact="0" outline="0" subtotalTop="0" multipleItemSelectionAllowed="1" showAll="0" defaultSubtotal="0">
      <items count="12">
        <item m="1" x="10"/>
        <item m="1" x="3"/>
        <item h="1" m="1" x="5"/>
        <item m="1" x="1"/>
        <item m="1" x="11"/>
        <item m="1" x="2"/>
        <item m="1" x="9"/>
        <item h="1" m="1" x="6"/>
        <item h="1" m="1" x="7"/>
        <item m="1" x="8"/>
        <item m="1" x="4"/>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2">
        <item m="1" x="24"/>
        <item x="3"/>
        <item m="1" x="40"/>
        <item x="5"/>
        <item m="1" x="34"/>
        <item m="1" x="9"/>
        <item m="1" x="18"/>
        <item m="1" x="11"/>
        <item x="4"/>
        <item m="1" x="38"/>
        <item m="1" x="31"/>
        <item m="1" x="14"/>
        <item m="1" x="19"/>
        <item m="1" x="12"/>
        <item m="1" x="30"/>
        <item x="2"/>
        <item x="1"/>
        <item m="1" x="10"/>
        <item x="7"/>
        <item x="6"/>
        <item m="1" x="39"/>
        <item m="1" x="13"/>
        <item x="0"/>
        <item m="1" x="23"/>
        <item m="1" x="28"/>
        <item m="1" x="35"/>
        <item m="1" x="26"/>
        <item m="1" x="33"/>
        <item m="1" x="41"/>
        <item m="1" x="15"/>
        <item m="1" x="21"/>
        <item m="1" x="36"/>
        <item m="1" x="29"/>
        <item m="1" x="32"/>
        <item m="1" x="16"/>
        <item m="1" x="8"/>
        <item m="1" x="22"/>
        <item m="1" x="25"/>
        <item m="1" x="27"/>
        <item m="1" x="37"/>
        <item m="1" x="17"/>
        <item m="1" x="2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6">
        <item h="1" m="1" x="3"/>
        <item h="1" m="1" x="4"/>
        <item h="1" m="1" x="2"/>
        <item h="1" m="1" x="1"/>
        <item x="0"/>
        <item m="1" x="5"/>
      </items>
      <extLst>
        <ext xmlns:x14="http://schemas.microsoft.com/office/spreadsheetml/2009/9/main" uri="{2946ED86-A175-432a-8AC1-64E0C546D7DE}">
          <x14:pivotField fillDownLabels="1"/>
        </ext>
      </extLst>
    </pivotField>
    <pivotField axis="axisRow" compact="0" outline="0" subtotalTop="0" showAll="0" sortType="ascending" defaultSubtotal="0">
      <items count="41">
        <item m="1" x="13"/>
        <item m="1" x="16"/>
        <item m="1" x="36"/>
        <item m="1" x="19"/>
        <item m="1" x="30"/>
        <item m="1" x="25"/>
        <item m="1" x="29"/>
        <item m="1" x="22"/>
        <item m="1" x="7"/>
        <item x="2"/>
        <item x="3"/>
        <item m="1" x="12"/>
        <item m="1" x="33"/>
        <item m="1" x="9"/>
        <item m="1" x="15"/>
        <item m="1" x="26"/>
        <item m="1" x="11"/>
        <item m="1" x="20"/>
        <item m="1" x="31"/>
        <item m="1" x="6"/>
        <item m="1" x="23"/>
        <item m="1" x="35"/>
        <item m="1" x="14"/>
        <item x="4"/>
        <item m="1" x="24"/>
        <item m="1" x="17"/>
        <item m="1" x="21"/>
        <item m="1" x="27"/>
        <item m="1" x="8"/>
        <item m="1" x="10"/>
        <item x="0"/>
        <item m="1" x="28"/>
        <item m="1" x="18"/>
        <item m="1" x="38"/>
        <item m="1" x="32"/>
        <item m="1" x="39"/>
        <item x="1"/>
        <item m="1" x="40"/>
        <item m="1" x="37"/>
        <item m="1" x="34"/>
        <item m="1" x="5"/>
      </items>
      <extLst>
        <ext xmlns:x14="http://schemas.microsoft.com/office/spreadsheetml/2009/9/main" uri="{2946ED86-A175-432a-8AC1-64E0C546D7DE}">
          <x14:pivotField fillDownLabels="1"/>
        </ext>
      </extLst>
    </pivotField>
    <pivotField axis="axisPage" compact="0" outline="0" multipleItemSelectionAllowed="1" showAll="0" defaultSubtotal="0">
      <items count="10">
        <item x="0"/>
        <item h="1" m="1" x="7"/>
        <item m="1" x="6"/>
        <item m="1" x="2"/>
        <item h="1" m="1" x="1"/>
        <item h="1" m="1" x="8"/>
        <item h="1" m="1" x="5"/>
        <item h="1" m="1" x="9"/>
        <item m="1" x="3"/>
        <item m="1" x="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ubtotalTop="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9"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numFmtId="1"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4">
        <item x="0"/>
        <item m="1" x="3"/>
        <item m="1" x="2"/>
        <item m="1"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 compact="0" outline="0" subtotalTop="0" dragToRow="0" dragToCol="0" dragToPage="0" showAll="0" defaultSubtotal="0">
      <extLst>
        <ext xmlns:x14="http://schemas.microsoft.com/office/spreadsheetml/2009/9/main" uri="{2946ED86-A175-432a-8AC1-64E0C546D7DE}">
          <x14:pivotField fillDownLabels="1"/>
        </ext>
      </extLst>
    </pivotField>
  </pivotFields>
  <rowFields count="2">
    <field x="5"/>
    <field x="2"/>
  </rowFields>
  <rowItems count="8">
    <i>
      <x v="9"/>
      <x v="1"/>
    </i>
    <i>
      <x v="10"/>
      <x v="8"/>
    </i>
    <i>
      <x v="23"/>
      <x v="18"/>
    </i>
    <i>
      <x v="30"/>
      <x v="19"/>
    </i>
    <i r="1">
      <x v="22"/>
    </i>
    <i>
      <x v="36"/>
      <x v="3"/>
    </i>
    <i r="1">
      <x v="15"/>
    </i>
    <i r="1">
      <x v="16"/>
    </i>
  </rowItems>
  <colItems count="1">
    <i/>
  </colItems>
  <pageFields count="4">
    <pageField fld="0" hier="-1"/>
    <pageField fld="103" item="0" hier="-1"/>
    <pageField fld="6" hier="-1"/>
    <pageField fld="4" hier="-1"/>
  </pageFields>
  <formats count="28">
    <format dxfId="504">
      <pivotArea type="all" dataOnly="0" outline="0" fieldPosition="0"/>
    </format>
    <format dxfId="503">
      <pivotArea outline="0" collapsedLevelsAreSubtotals="1" fieldPosition="0"/>
    </format>
    <format dxfId="502">
      <pivotArea field="5" type="button" dataOnly="0" labelOnly="1" outline="0" axis="axisRow" fieldPosition="0"/>
    </format>
    <format dxfId="501">
      <pivotArea dataOnly="0" labelOnly="1" outline="0" axis="axisValues" fieldPosition="0"/>
    </format>
    <format dxfId="500">
      <pivotArea dataOnly="0" labelOnly="1" fieldPosition="0">
        <references count="1">
          <reference field="5" count="0"/>
        </references>
      </pivotArea>
    </format>
    <format dxfId="499">
      <pivotArea dataOnly="0" labelOnly="1" grandRow="1" outline="0" fieldPosition="0"/>
    </format>
    <format dxfId="498">
      <pivotArea dataOnly="0" labelOnly="1" outline="0" axis="axisValues" fieldPosition="0"/>
    </format>
    <format dxfId="497">
      <pivotArea type="all" dataOnly="0" outline="0" fieldPosition="0"/>
    </format>
    <format dxfId="496">
      <pivotArea field="5" type="button" dataOnly="0" labelOnly="1" outline="0" axis="axisRow" fieldPosition="0"/>
    </format>
    <format dxfId="495">
      <pivotArea dataOnly="0" labelOnly="1" outline="0" axis="axisValues" fieldPosition="0"/>
    </format>
    <format dxfId="494">
      <pivotArea dataOnly="0" labelOnly="1" fieldPosition="0">
        <references count="1">
          <reference field="5" count="0"/>
        </references>
      </pivotArea>
    </format>
    <format dxfId="493">
      <pivotArea dataOnly="0" labelOnly="1" outline="0" axis="axisValues" fieldPosition="0"/>
    </format>
    <format dxfId="492">
      <pivotArea field="5" type="button" dataOnly="0" labelOnly="1" outline="0" axis="axisRow" fieldPosition="0"/>
    </format>
    <format dxfId="491">
      <pivotArea type="all" dataOnly="0" outline="0" fieldPosition="0"/>
    </format>
    <format dxfId="490">
      <pivotArea field="5" type="button" dataOnly="0" labelOnly="1" outline="0" axis="axisRow" fieldPosition="0"/>
    </format>
    <format dxfId="489">
      <pivotArea dataOnly="0" labelOnly="1" fieldPosition="0">
        <references count="1">
          <reference field="5" count="0"/>
        </references>
      </pivotArea>
    </format>
    <format dxfId="488">
      <pivotArea type="all" dataOnly="0" outline="0" fieldPosition="0"/>
    </format>
    <format dxfId="487">
      <pivotArea outline="0" collapsedLevelsAreSubtotals="1" fieldPosition="0"/>
    </format>
    <format dxfId="486">
      <pivotArea field="5" type="button" dataOnly="0" labelOnly="1" outline="0" axis="axisRow" fieldPosition="0"/>
    </format>
    <format dxfId="485">
      <pivotArea dataOnly="0" labelOnly="1" fieldPosition="0">
        <references count="1">
          <reference field="5" count="0"/>
        </references>
      </pivotArea>
    </format>
    <format dxfId="484">
      <pivotArea field="5" type="button" dataOnly="0" labelOnly="1" outline="0" axis="axisRow" fieldPosition="0"/>
    </format>
    <format dxfId="483">
      <pivotArea type="all" dataOnly="0" outline="0" fieldPosition="0"/>
    </format>
    <format dxfId="482">
      <pivotArea outline="0" collapsedLevelsAreSubtotals="1" fieldPosition="0"/>
    </format>
    <format dxfId="481">
      <pivotArea field="5" type="button" dataOnly="0" labelOnly="1" outline="0" axis="axisRow" fieldPosition="0"/>
    </format>
    <format dxfId="480">
      <pivotArea dataOnly="0" labelOnly="1" fieldPosition="0">
        <references count="1">
          <reference field="5" count="13">
            <x v="1"/>
            <x v="4"/>
            <x v="5"/>
            <x v="13"/>
            <x v="17"/>
            <x v="18"/>
            <x v="20"/>
            <x v="24"/>
            <x v="32"/>
            <x v="35"/>
            <x v="37"/>
            <x v="38"/>
            <x v="39"/>
          </reference>
        </references>
      </pivotArea>
    </format>
    <format dxfId="479">
      <pivotArea dataOnly="0" labelOnly="1" grandRow="1" outline="0" fieldPosition="0"/>
    </format>
    <format dxfId="478">
      <pivotArea field="4" type="button" dataOnly="0" labelOnly="1" outline="0" axis="axisPage" fieldPosition="3"/>
    </format>
    <format dxfId="477">
      <pivotArea dataOnly="0" labelOnly="1" outline="0" fieldPosition="0">
        <references count="2">
          <reference field="4" count="1">
            <x v="0"/>
          </reference>
          <reference field="103" count="1" selected="0">
            <x v="0"/>
          </reference>
        </references>
      </pivotArea>
    </format>
  </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E000000}" name="PivotTable14"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0" rowHeaderCaption="State">
  <location ref="C324:E325" firstHeaderRow="0" firstDataRow="1" firstDataCol="1" rowPageCount="2" colPageCount="1"/>
  <pivotFields count="114">
    <pivotField axis="axisPage" subtotalTop="0" showAll="0">
      <items count="13">
        <item m="1" x="10"/>
        <item m="1" x="3"/>
        <item m="1" x="11"/>
        <item m="1" x="5"/>
        <item m="1" x="2"/>
        <item m="1" x="1"/>
        <item m="1" x="9"/>
        <item m="1" x="6"/>
        <item m="1" x="7"/>
        <item m="1" x="8"/>
        <item m="1" x="4"/>
        <item x="0"/>
        <item t="default"/>
      </items>
    </pivotField>
    <pivotField showAll="0" defaultSubtotal="0"/>
    <pivotField showAll="0" defaultSubtotal="0"/>
    <pivotField subtotalTop="0" showAll="0"/>
    <pivotField axis="axisRow" subtotalTop="0" multipleItemSelectionAllowed="1" showAll="0">
      <items count="7">
        <item m="1" x="3"/>
        <item m="1" x="4"/>
        <item m="1" x="2"/>
        <item h="1" m="1" x="1"/>
        <item x="0"/>
        <item m="1" x="5"/>
        <item t="default"/>
      </items>
    </pivotField>
    <pivotField subtotalTop="0" showAll="0"/>
    <pivotField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numFmtId="1" subtotalTop="0" showAll="0"/>
    <pivotField numFmtId="9" showAl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numFmtId="9" subtotalTop="0" showAll="0"/>
    <pivotField numFmtId="9"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1">
    <i>
      <x v="4"/>
    </i>
  </rowItems>
  <colFields count="1">
    <field x="-2"/>
  </colFields>
  <colItems count="2">
    <i>
      <x/>
    </i>
    <i i="1">
      <x v="1"/>
    </i>
  </colItems>
  <pageFields count="2">
    <pageField fld="0" item="11" hier="-1"/>
    <pageField fld="103" hier="-1"/>
  </pageFields>
  <dataFields count="2">
    <dataField name="# of latrines in TLS/CFS" fld="42" baseField="0" baseItem="0"/>
    <dataField name=" # Functional water points in TLS/CFS" fld="29" baseField="0" baseItem="0"/>
  </dataFields>
  <formats count="18">
    <format dxfId="84">
      <pivotArea type="all" dataOnly="0" outline="0" fieldPosition="0"/>
    </format>
    <format dxfId="83">
      <pivotArea outline="0" collapsedLevelsAreSubtotals="1" fieldPosition="0"/>
    </format>
    <format dxfId="82">
      <pivotArea field="4" type="button" dataOnly="0" labelOnly="1" outline="0" axis="axisRow" fieldPosition="0"/>
    </format>
    <format dxfId="81">
      <pivotArea dataOnly="0" labelOnly="1" grandRow="1" outline="0" fieldPosition="0"/>
    </format>
    <format dxfId="80">
      <pivotArea type="all" dataOnly="0" outline="0" fieldPosition="0"/>
    </format>
    <format dxfId="79">
      <pivotArea outline="0" collapsedLevelsAreSubtotals="1" fieldPosition="0"/>
    </format>
    <format dxfId="78">
      <pivotArea type="origin" dataOnly="0" labelOnly="1" outline="0" fieldPosition="0"/>
    </format>
    <format dxfId="77">
      <pivotArea field="103" type="button" dataOnly="0" labelOnly="1" outline="0" axis="axisPage" fieldPosition="1"/>
    </format>
    <format dxfId="76">
      <pivotArea type="topRight" dataOnly="0" labelOnly="1" outline="0" fieldPosition="0"/>
    </format>
    <format dxfId="75">
      <pivotArea dataOnly="0" labelOnly="1" fieldPosition="0">
        <references count="1">
          <reference field="103" count="0"/>
        </references>
      </pivotArea>
    </format>
    <format dxfId="74">
      <pivotArea type="all" dataOnly="0" outline="0" fieldPosition="0"/>
    </format>
    <format dxfId="73">
      <pivotArea outline="0" collapsedLevelsAreSubtotals="1" fieldPosition="0"/>
    </format>
    <format dxfId="72">
      <pivotArea field="4" type="button" dataOnly="0" labelOnly="1" outline="0" axis="axisRow" fieldPosition="0"/>
    </format>
    <format dxfId="71">
      <pivotArea dataOnly="0" labelOnly="1" fieldPosition="0">
        <references count="1">
          <reference field="4" count="0"/>
        </references>
      </pivotArea>
    </format>
    <format dxfId="70">
      <pivotArea outline="0" collapsedLevelsAreSubtotals="1" fieldPosition="0"/>
    </format>
    <format dxfId="69">
      <pivotArea field="4" type="button" dataOnly="0" labelOnly="1" outline="0" axis="axisRow" fieldPosition="0"/>
    </format>
    <format dxfId="68">
      <pivotArea field="4" type="button" dataOnly="0" labelOnly="1" outline="0" axis="axisRow" fieldPosition="0"/>
    </format>
    <format dxfId="67">
      <pivotArea field="4" type="button" dataOnly="0" labelOnly="1" outline="0" axis="axisRow" fieldPosition="0"/>
    </format>
  </formats>
  <chartFormats count="4">
    <chartFormat chart="8" format="0" series="1">
      <pivotArea type="data" outline="0" fieldPosition="0">
        <references count="1">
          <reference field="4294967294" count="1" selected="0">
            <x v="1"/>
          </reference>
        </references>
      </pivotArea>
    </chartFormat>
    <chartFormat chart="8" format="1"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1"/>
          </reference>
        </references>
      </pivotArea>
    </chartFormat>
    <chartFormat chart="9" format="1" series="1">
      <pivotArea type="data" outline="0" fieldPosition="0">
        <references count="1">
          <reference field="4294967294" count="1" selected="0">
            <x v="0"/>
          </reference>
        </references>
      </pivotArea>
    </chartFormat>
  </chartFormats>
  <pivotTableStyleInfo name="PivotStyleLight18"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22000000}" name="W_R_C_G_C"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39" rowHeaderCaption="State" colHeaderCaption=" ">
  <location ref="B78:D83" firstHeaderRow="0" firstDataRow="1" firstDataCol="1" rowPageCount="4" colPageCount="1"/>
  <pivotFields count="114">
    <pivotField axis="axisPage" subtotalTop="0" multipleItemSelectionAllowed="1" showAll="0">
      <items count="13">
        <item m="1" x="10"/>
        <item m="1" x="3"/>
        <item h="1" m="1" x="5"/>
        <item h="1" m="1" x="1"/>
        <item m="1" x="11"/>
        <item m="1" x="2"/>
        <item h="1" m="1" x="9"/>
        <item h="1" m="1" x="6"/>
        <item h="1" m="1" x="7"/>
        <item m="1" x="8"/>
        <item m="1" x="4"/>
        <item x="0"/>
        <item t="default"/>
      </items>
    </pivotField>
    <pivotField showAll="0" defaultSubtotal="0"/>
    <pivotField showAll="0" defaultSubtotal="0"/>
    <pivotField subtotalTop="0" showAll="0"/>
    <pivotField axis="axisPage" subtotalTop="0" multipleItemSelectionAllowed="1" showAll="0">
      <items count="7">
        <item h="1" m="1" x="3"/>
        <item m="1" x="4"/>
        <item h="1" m="1" x="2"/>
        <item m="1" x="1"/>
        <item x="0"/>
        <item m="1" x="5"/>
        <item t="default"/>
      </items>
    </pivotField>
    <pivotField axis="axisRow" subtotalTop="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17"/>
        <item m="1" x="21"/>
        <item m="1" x="27"/>
        <item m="1" x="10"/>
        <item x="0"/>
        <item m="1" x="28"/>
        <item m="1" x="18"/>
        <item m="1" x="38"/>
        <item m="1" x="32"/>
        <item m="1" x="39"/>
        <item x="1"/>
        <item m="1" x="40"/>
        <item m="1" x="37"/>
        <item m="1" x="34"/>
        <item m="1" x="6"/>
        <item m="1" x="8"/>
        <item m="1" x="5"/>
        <item m="1" x="19"/>
        <item t="default"/>
      </items>
    </pivotField>
    <pivotField axis="axisPage" multipleItemSelectionAllowed="1" showAll="0" defaultSubtotal="0">
      <items count="10">
        <item x="0"/>
        <item m="1" x="7"/>
        <item m="1" x="6"/>
        <item h="1" m="1" x="4"/>
        <item m="1" x="2"/>
        <item m="1" x="1"/>
        <item h="1" m="1" x="8"/>
        <item m="1" x="5"/>
        <item h="1" m="1" x="9"/>
        <item m="1" x="3"/>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s>
  <rowFields count="1">
    <field x="5"/>
  </rowFields>
  <rowItems count="5">
    <i>
      <x v="8"/>
    </i>
    <i>
      <x v="9"/>
    </i>
    <i>
      <x v="21"/>
    </i>
    <i>
      <x v="27"/>
    </i>
    <i>
      <x v="33"/>
    </i>
  </rowItems>
  <colFields count="1">
    <field x="-2"/>
  </colFields>
  <colItems count="2">
    <i>
      <x/>
    </i>
    <i i="1">
      <x v="1"/>
    </i>
  </colItems>
  <pageFields count="4">
    <pageField fld="0" hier="-1"/>
    <pageField fld="103" item="0" hier="-1"/>
    <pageField fld="4" hier="-1"/>
    <pageField fld="6" hier="-1"/>
  </pageFields>
  <dataFields count="2">
    <dataField name=" % Water Coverage" fld="110" baseField="0" baseItem="0"/>
    <dataField name=" % Water GAP" fld="111" baseField="0" baseItem="0"/>
  </dataFields>
  <formats count="13">
    <format dxfId="97">
      <pivotArea field="4" type="button" dataOnly="0" labelOnly="1" outline="0" axis="axisPage" fieldPosition="2"/>
    </format>
    <format dxfId="96">
      <pivotArea type="all" dataOnly="0" outline="0" fieldPosition="0"/>
    </format>
    <format dxfId="95">
      <pivotArea outline="0" collapsedLevelsAreSubtotals="1" fieldPosition="0"/>
    </format>
    <format dxfId="94">
      <pivotArea field="4" type="button" dataOnly="0" labelOnly="1" outline="0" axis="axisPage" fieldPosition="2"/>
    </format>
    <format dxfId="93">
      <pivotArea type="all" dataOnly="0" outline="0" fieldPosition="0"/>
    </format>
    <format dxfId="92">
      <pivotArea outline="0" collapsedLevelsAreSubtotals="1" fieldPosition="0"/>
    </format>
    <format dxfId="91">
      <pivotArea outline="0" collapsedLevelsAreSubtotals="1" fieldPosition="0"/>
    </format>
    <format dxfId="90">
      <pivotArea field="5" type="button" dataOnly="0" labelOnly="1" outline="0" axis="axisRow" fieldPosition="0"/>
    </format>
    <format dxfId="89">
      <pivotArea field="5" type="button" dataOnly="0" labelOnly="1" outline="0" axis="axisRow" fieldPosition="0"/>
    </format>
    <format dxfId="88">
      <pivotArea field="5" type="button" dataOnly="0" labelOnly="1" outline="0" axis="axisRow" fieldPosition="0"/>
    </format>
    <format dxfId="87">
      <pivotArea field="4" type="button" dataOnly="0" labelOnly="1" outline="0" axis="axisPage" fieldPosition="2"/>
    </format>
    <format dxfId="86">
      <pivotArea dataOnly="0" labelOnly="1" outline="0" fieldPosition="0">
        <references count="2">
          <reference field="4" count="1">
            <x v="1"/>
          </reference>
          <reference field="103" count="1" selected="0">
            <x v="0"/>
          </reference>
        </references>
      </pivotArea>
    </format>
    <format dxfId="85">
      <pivotArea dataOnly="0" labelOnly="1" outline="0" fieldPosition="0">
        <references count="2">
          <reference field="4" count="1">
            <x v="2"/>
          </reference>
          <reference field="103" count="1" selected="0">
            <x v="0"/>
          </reference>
        </references>
      </pivotArea>
    </format>
  </formats>
  <chartFormats count="2">
    <chartFormat chart="33" format="4" series="1">
      <pivotArea type="data" outline="0" fieldPosition="0">
        <references count="1">
          <reference field="4294967294" count="1" selected="0">
            <x v="0"/>
          </reference>
        </references>
      </pivotArea>
    </chartFormat>
    <chartFormat chart="33" format="5" series="1">
      <pivotArea type="data" outline="0" fieldPosition="0">
        <references count="1">
          <reference field="4294967294" count="1" selected="0">
            <x v="1"/>
          </reference>
        </references>
      </pivotArea>
    </chartFormat>
  </chart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D000000}" name="PivotTable10"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25" rowHeaderCaption="State" colHeaderCaption=" ">
  <location ref="B54:D56" firstHeaderRow="1" firstDataRow="2" firstDataCol="1" rowPageCount="3" colPageCount="1"/>
  <pivotFields count="114">
    <pivotField axis="axisPage" subtotalTop="0" multipleItemSelectionAllowed="1" showAll="0">
      <items count="13">
        <item m="1" x="10"/>
        <item m="1" x="3"/>
        <item h="1" m="1" x="5"/>
        <item h="1" m="1" x="1"/>
        <item m="1" x="11"/>
        <item m="1" x="2"/>
        <item h="1" m="1" x="9"/>
        <item h="1" m="1" x="6"/>
        <item h="1" m="1" x="7"/>
        <item m="1" x="8"/>
        <item m="1" x="4"/>
        <item x="0"/>
        <item t="default"/>
      </items>
    </pivotField>
    <pivotField showAll="0" defaultSubtotal="0"/>
    <pivotField showAll="0" defaultSubtotal="0"/>
    <pivotField subtotalTop="0" showAll="0"/>
    <pivotField axis="axisRow" subtotalTop="0" showAll="0">
      <items count="7">
        <item m="1" x="3"/>
        <item m="1" x="4"/>
        <item m="1" x="2"/>
        <item m="1" x="1"/>
        <item x="0"/>
        <item m="1" x="5"/>
        <item t="default"/>
      </items>
    </pivotField>
    <pivotField subtotalTop="0" showAll="0"/>
    <pivotField axis="axisPage" multipleItemSelectionAllowed="1" showAll="0" defaultSubtotal="0">
      <items count="10">
        <item x="0"/>
        <item m="1" x="7"/>
        <item m="1" x="6"/>
        <item h="1" m="1" x="4"/>
        <item m="1" x="2"/>
        <item m="1" x="1"/>
        <item h="1" m="1" x="8"/>
        <item m="1" x="5"/>
        <item h="1" m="1" x="9"/>
        <item m="1" x="3"/>
      </items>
    </pivotField>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defaultSubtotal="0">
      <items count="3">
        <item x="1"/>
        <item x="0"/>
        <item m="1" x="2"/>
      </items>
    </pivotField>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1">
    <i>
      <x v="4"/>
    </i>
  </rowItems>
  <colFields count="1">
    <field x="66"/>
  </colFields>
  <colItems count="2">
    <i>
      <x/>
    </i>
    <i>
      <x v="1"/>
    </i>
  </colItems>
  <pageFields count="3">
    <pageField fld="0" hier="-1"/>
    <pageField fld="103" item="0" hier="-1"/>
    <pageField fld="6" hier="-1"/>
  </pageFields>
  <dataFields count="1">
    <dataField name="Count of Warter quality test done" fld="66" subtotal="count" baseField="0" baseItem="0"/>
  </dataFields>
  <formats count="8">
    <format dxfId="105">
      <pivotArea field="4" type="button" dataOnly="0" labelOnly="1" outline="0" axis="axisRow" fieldPosition="0"/>
    </format>
    <format dxfId="104">
      <pivotArea type="all" dataOnly="0" outline="0" fieldPosition="0"/>
    </format>
    <format dxfId="103">
      <pivotArea outline="0" collapsedLevelsAreSubtotals="1" fieldPosition="0"/>
    </format>
    <format dxfId="102">
      <pivotArea field="4" type="button" dataOnly="0" labelOnly="1" outline="0" axis="axisRow" fieldPosition="0"/>
    </format>
    <format dxfId="101">
      <pivotArea dataOnly="0" labelOnly="1" fieldPosition="0">
        <references count="1">
          <reference field="4" count="0"/>
        </references>
      </pivotArea>
    </format>
    <format dxfId="100">
      <pivotArea type="all" dataOnly="0" outline="0" fieldPosition="0"/>
    </format>
    <format dxfId="99">
      <pivotArea outline="0" collapsedLevelsAreSubtotals="1" fieldPosition="0"/>
    </format>
    <format dxfId="98">
      <pivotArea dataOnly="0" labelOnly="1" fieldPosition="0">
        <references count="1">
          <reference field="4" count="0"/>
        </references>
      </pivotArea>
    </format>
  </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800-000006000000}" name="K_L_CG_N"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42" rowHeaderCaption="State" colHeaderCaption=" ">
  <location ref="B158:D163" firstHeaderRow="0" firstDataRow="1" firstDataCol="1" rowPageCount="3" colPageCount="1"/>
  <pivotFields count="114">
    <pivotField axis="axisPage" subtotalTop="0" multipleItemSelectionAllowed="1" showAll="0">
      <items count="13">
        <item m="1" x="10"/>
        <item m="1" x="3"/>
        <item h="1" m="1" x="5"/>
        <item h="1" m="1" x="1"/>
        <item m="1" x="11"/>
        <item m="1" x="2"/>
        <item h="1" m="1" x="9"/>
        <item h="1" m="1" x="6"/>
        <item h="1" m="1" x="7"/>
        <item m="1" x="8"/>
        <item m="1" x="4"/>
        <item x="0"/>
        <item t="default"/>
      </items>
    </pivotField>
    <pivotField showAll="0" defaultSubtotal="0"/>
    <pivotField showAll="0" defaultSubtotal="0"/>
    <pivotField subtotalTop="0" showAll="0"/>
    <pivotField axis="axisPage" subtotalTop="0" showAll="0">
      <items count="7">
        <item m="1" x="3"/>
        <item m="1" x="4"/>
        <item m="1" x="2"/>
        <item m="1" x="1"/>
        <item x="0"/>
        <item m="1" x="5"/>
        <item t="default"/>
      </items>
    </pivotField>
    <pivotField axis="axisRow" subtotalTop="0" showAll="0">
      <items count="42">
        <item m="1" x="13"/>
        <item m="1" x="16"/>
        <item m="1" x="36"/>
        <item m="1" x="30"/>
        <item m="1" x="25"/>
        <item m="1" x="29"/>
        <item m="1" x="22"/>
        <item m="1" x="7"/>
        <item x="2"/>
        <item x="3"/>
        <item m="1" x="12"/>
        <item m="1" x="33"/>
        <item m="1" x="9"/>
        <item m="1" x="15"/>
        <item m="1" x="26"/>
        <item m="1" x="11"/>
        <item m="1" x="20"/>
        <item m="1" x="31"/>
        <item m="1" x="23"/>
        <item m="1" x="35"/>
        <item m="1" x="14"/>
        <item x="4"/>
        <item m="1" x="24"/>
        <item m="1" x="17"/>
        <item m="1" x="21"/>
        <item m="1" x="27"/>
        <item m="1" x="10"/>
        <item x="0"/>
        <item m="1" x="28"/>
        <item m="1" x="18"/>
        <item m="1" x="38"/>
        <item m="1" x="32"/>
        <item m="1" x="39"/>
        <item x="1"/>
        <item m="1" x="40"/>
        <item m="1" x="37"/>
        <item m="1" x="34"/>
        <item m="1" x="6"/>
        <item m="1" x="8"/>
        <item m="1" x="5"/>
        <item m="1" x="19"/>
        <item t="default"/>
      </items>
    </pivotField>
    <pivotField multipleItemSelectionAllowed="1" showAll="0" defaultSubtotal="0"/>
    <pivotField subtotalTop="0" showAll="0"/>
    <pivotField subtotalTop="0" showAll="0"/>
    <pivotField subtotalTop="0" showAll="0"/>
    <pivotField showAll="0" defaultSubtotal="0"/>
    <pivotField showAll="0" defaultSubtotal="0"/>
    <pivotField showAll="0" defaultSubtotal="0"/>
    <pivotField showAll="0" defaultSubtotal="0"/>
    <pivotField showAll="0" defaultSubtotal="0"/>
    <pivotField subtotalTop="0"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pivotField showAll="0" defaultSubtotal="0"/>
    <pivotField showAll="0"/>
    <pivotField subtotalTop="0" showAll="0"/>
    <pivotField numFmtId="9" showAl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9" showAll="0" defaultSubtotal="0"/>
    <pivotField numFmtId="1" showAll="0" defaultSubtotal="0"/>
    <pivotField numFmtId="1" showAll="0" defaultSubtotal="0"/>
    <pivotField numFmtId="1" showAll="0" defaultSubtotal="0"/>
    <pivotField numFmtId="1" showAll="0" defaultSubtotal="0"/>
    <pivotField numFmtId="1" showAll="0" defaultSubtotal="0"/>
    <pivotField numFmtId="9" subtotalTop="0" showAll="0"/>
    <pivotField subtotalTop="0" showAll="0"/>
    <pivotField subtotalTop="0" showAll="0"/>
    <pivotField numFmtId="9" subtotalTop="0"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howAll="0"/>
    <pivotField showAll="0"/>
    <pivotField showAll="0"/>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s>
  <rowFields count="1">
    <field x="5"/>
  </rowFields>
  <rowItems count="5">
    <i>
      <x v="8"/>
    </i>
    <i>
      <x v="9"/>
    </i>
    <i>
      <x v="21"/>
    </i>
    <i>
      <x v="27"/>
    </i>
    <i>
      <x v="33"/>
    </i>
  </rowItems>
  <colFields count="1">
    <field x="-2"/>
  </colFields>
  <colItems count="2">
    <i>
      <x/>
    </i>
    <i i="1">
      <x v="1"/>
    </i>
  </colItems>
  <pageFields count="3">
    <pageField fld="0" hier="-1"/>
    <pageField fld="103" item="0" hier="-1"/>
    <pageField fld="4" item="4" hier="-1"/>
  </pageFields>
  <dataFields count="2">
    <dataField name="  % Latrine Coverage" fld="112" baseField="0" baseItem="0" numFmtId="1"/>
    <dataField name="  % Latrine GAP" fld="113" baseField="0" baseItem="0" numFmtId="1"/>
  </dataFields>
  <formats count="12">
    <format dxfId="117">
      <pivotArea type="all" dataOnly="0" outline="0" fieldPosition="0"/>
    </format>
    <format dxfId="116">
      <pivotArea outline="0" collapsedLevelsAreSubtotals="1" fieldPosition="0"/>
    </format>
    <format dxfId="115">
      <pivotArea field="4" type="button" dataOnly="0" labelOnly="1" outline="0" axis="axisPage" fieldPosition="2"/>
    </format>
    <format dxfId="114">
      <pivotArea type="all" dataOnly="0" outline="0" fieldPosition="0"/>
    </format>
    <format dxfId="113">
      <pivotArea outline="0" collapsedLevelsAreSubtotals="1" fieldPosition="0"/>
    </format>
    <format dxfId="112">
      <pivotArea outline="0" collapsedLevelsAreSubtotals="1" fieldPosition="0"/>
    </format>
    <format dxfId="111">
      <pivotArea field="5" type="button" dataOnly="0" labelOnly="1" outline="0" axis="axisRow" fieldPosition="0"/>
    </format>
    <format dxfId="110">
      <pivotArea field="5" type="button" dataOnly="0" labelOnly="1" outline="0" axis="axisRow" fieldPosition="0"/>
    </format>
    <format dxfId="109">
      <pivotArea field="5" type="button" dataOnly="0" labelOnly="1" outline="0" axis="axisRow" fieldPosition="0"/>
    </format>
    <format dxfId="108">
      <pivotArea field="4" type="button" dataOnly="0" labelOnly="1" outline="0" axis="axisPage" fieldPosition="2"/>
    </format>
    <format dxfId="107">
      <pivotArea dataOnly="0" labelOnly="1" outline="0" fieldPosition="0">
        <references count="2">
          <reference field="4" count="1">
            <x v="0"/>
          </reference>
          <reference field="103" count="1" selected="0">
            <x v="0"/>
          </reference>
        </references>
      </pivotArea>
    </format>
    <format dxfId="106">
      <pivotArea dataOnly="0" labelOnly="1" outline="0" fieldPosition="0">
        <references count="2">
          <reference field="4" count="1">
            <x v="2"/>
          </reference>
          <reference field="103" count="1" selected="0">
            <x v="0"/>
          </reference>
        </references>
      </pivotArea>
    </format>
  </formats>
  <chartFormats count="2">
    <chartFormat chart="39" format="3" series="1">
      <pivotArea type="data" outline="0" fieldPosition="0">
        <references count="1">
          <reference field="4294967294" count="1" selected="0">
            <x v="0"/>
          </reference>
        </references>
      </pivotArea>
    </chartFormat>
    <chartFormat chart="39" format="4" series="1">
      <pivotArea type="data" outline="0" fieldPosition="0">
        <references count="1">
          <reference field="4294967294" count="1" selected="0">
            <x v="1"/>
          </reference>
        </references>
      </pivotArea>
    </chartFormat>
  </chart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 xr10:uid="{00000000-0013-0000-FFFF-FFFF03000000}" sourceName="Township">
  <pivotTables>
    <pivotTable tabId="100" name="PivotTable1"/>
  </pivotTables>
  <data>
    <tabular pivotCacheId="1">
      <items count="41">
        <i x="2" s="1"/>
        <i x="3" s="1"/>
        <i x="4" s="1"/>
        <i x="0" s="1"/>
        <i x="1" s="1"/>
        <i x="13" s="1" nd="1"/>
        <i x="16" s="1" nd="1"/>
        <i x="36" s="1" nd="1"/>
        <i x="19" s="1" nd="1"/>
        <i x="30" s="1" nd="1"/>
        <i x="25" s="1" nd="1"/>
        <i x="29" s="1" nd="1"/>
        <i x="22" s="1" nd="1"/>
        <i x="7" s="1" nd="1"/>
        <i x="12" s="1" nd="1"/>
        <i x="33" s="1" nd="1"/>
        <i x="9" s="1" nd="1"/>
        <i x="15" s="1" nd="1"/>
        <i x="26" s="1" nd="1"/>
        <i x="11" s="1" nd="1"/>
        <i x="20" s="1" nd="1"/>
        <i x="31" s="1" nd="1"/>
        <i x="6" s="1" nd="1"/>
        <i x="23" s="1" nd="1"/>
        <i x="35" s="1" nd="1"/>
        <i x="14" s="1" nd="1"/>
        <i x="24" s="1" nd="1"/>
        <i x="17" s="1" nd="1"/>
        <i x="21" s="1" nd="1"/>
        <i x="27" s="1" nd="1"/>
        <i x="8" s="1" nd="1"/>
        <i x="10" s="1" nd="1"/>
        <i x="28" s="1" nd="1"/>
        <i x="18" s="1" nd="1"/>
        <i x="38" s="1" nd="1"/>
        <i x="32" s="1" nd="1"/>
        <i x="39" s="1" nd="1"/>
        <i x="40" s="1" nd="1"/>
        <i x="37" s="1" nd="1"/>
        <i x="34" s="1" nd="1"/>
        <i x="5"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3" xr10:uid="{99D75AAC-D418-4F36-A772-F349F7587D34}" sourceName="Township">
  <pivotTables>
    <pivotTable tabId="92" name="Geo_Gap"/>
  </pivotTables>
  <data>
    <tabular pivotCacheId="1">
      <items count="41">
        <i x="2" s="1"/>
        <i x="3" s="1"/>
        <i x="4" s="1"/>
        <i x="0" s="1"/>
        <i x="1" s="1"/>
        <i x="13" s="1" nd="1"/>
        <i x="16" s="1" nd="1"/>
        <i x="36" s="1" nd="1"/>
        <i x="19" s="1" nd="1"/>
        <i x="30" s="1" nd="1"/>
        <i x="25" s="1" nd="1"/>
        <i x="29" s="1" nd="1"/>
        <i x="22" s="1" nd="1"/>
        <i x="7" s="1" nd="1"/>
        <i x="12" s="1" nd="1"/>
        <i x="33" s="1" nd="1"/>
        <i x="9" s="1" nd="1"/>
        <i x="15" s="1" nd="1"/>
        <i x="26" s="1" nd="1"/>
        <i x="11" s="1" nd="1"/>
        <i x="20" s="1" nd="1"/>
        <i x="31" s="1" nd="1"/>
        <i x="6" s="1" nd="1"/>
        <i x="23" s="1" nd="1"/>
        <i x="35" s="1" nd="1"/>
        <i x="14" s="1" nd="1"/>
        <i x="24" s="1" nd="1"/>
        <i x="17" s="1" nd="1"/>
        <i x="21" s="1" nd="1"/>
        <i x="27" s="1" nd="1"/>
        <i x="8" s="1" nd="1"/>
        <i x="10" s="1" nd="1"/>
        <i x="28" s="1" nd="1"/>
        <i x="18" s="1" nd="1"/>
        <i x="38" s="1" nd="1"/>
        <i x="32" s="1" nd="1"/>
        <i x="39" s="1" nd="1"/>
        <i x="40" s="1" nd="1"/>
        <i x="37" s="1" nd="1"/>
        <i x="34" s="1" nd="1"/>
        <i x="5"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1" xr10:uid="{00000000-0013-0000-FFFF-FFFF05000000}" sourceName="Township">
  <pivotTables>
    <pivotTable tabId="102" name="PivotTable1"/>
  </pivotTables>
  <data>
    <tabular pivotCacheId="1">
      <items count="41">
        <i x="2" s="1"/>
        <i x="3" s="1"/>
        <i x="4" s="1"/>
        <i x="0" s="1"/>
        <i x="1" s="1"/>
        <i x="13" s="1" nd="1"/>
        <i x="16" s="1" nd="1"/>
        <i x="36" s="1" nd="1"/>
        <i x="19" s="1" nd="1"/>
        <i x="30" s="1" nd="1"/>
        <i x="25" s="1" nd="1"/>
        <i x="29" s="1" nd="1"/>
        <i x="22" s="1" nd="1"/>
        <i x="7" s="1" nd="1"/>
        <i x="12" s="1" nd="1"/>
        <i x="33" s="1" nd="1"/>
        <i x="9" s="1" nd="1"/>
        <i x="15" s="1" nd="1"/>
        <i x="26" s="1" nd="1"/>
        <i x="11" s="1" nd="1"/>
        <i x="20" s="1" nd="1"/>
        <i x="31" s="1" nd="1"/>
        <i x="6" s="1" nd="1"/>
        <i x="23" s="1" nd="1"/>
        <i x="35" s="1" nd="1"/>
        <i x="14" s="1" nd="1"/>
        <i x="24" s="1" nd="1"/>
        <i x="17" s="1" nd="1"/>
        <i x="21" s="1" nd="1"/>
        <i x="27" s="1" nd="1"/>
        <i x="8" s="1" nd="1"/>
        <i x="10" s="1" nd="1"/>
        <i x="28" s="1" nd="1"/>
        <i x="18" s="1" nd="1"/>
        <i x="38" s="1" nd="1"/>
        <i x="32" s="1" nd="1"/>
        <i x="39" s="1" nd="1"/>
        <i x="40" s="1" nd="1"/>
        <i x="37" s="1" nd="1"/>
        <i x="34" s="1" nd="1"/>
        <i x="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accommodation" xr10:uid="{00000000-0013-0000-FFFF-FFFF06000000}" sourceName="Type of accommodation">
  <pivotTables>
    <pivotTable tabId="92" name="Geo_Gap"/>
  </pivotTables>
  <data>
    <tabular pivotCacheId="1">
      <items count="5">
        <i x="1" s="1"/>
        <i x="2" s="1"/>
        <i x="0" s="1"/>
        <i x="3" s="1"/>
        <i x="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porting_Period" xr10:uid="{00000000-0013-0000-FFFF-FFFF07000000}" sourceName="Reporting Period">
  <pivotTables>
    <pivotTable tabId="100" name="PivotTable1"/>
  </pivotTables>
  <data>
    <tabular pivotCacheId="1">
      <items count="12">
        <i x="0" s="1"/>
        <i x="9" s="1" nd="1"/>
        <i x="10" s="1" nd="1"/>
        <i x="3" s="1" nd="1"/>
        <i x="11" s="1" nd="1"/>
        <i x="5" s="1" nd="1"/>
        <i x="6" s="1" nd="1"/>
        <i x="7" s="1" nd="1"/>
        <i x="8" s="1" nd="1"/>
        <i x="2" s="1" nd="1"/>
        <i x="4" s="1" nd="1"/>
        <i x="1"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2" xr10:uid="{00000000-0013-0000-FFFF-FFFF0A000000}" sourceName="Township">
  <pivotTables>
    <pivotTable tabId="114" name="PivotTable1"/>
  </pivotTables>
  <data>
    <tabular pivotCacheId="1">
      <items count="41">
        <i x="2" s="1"/>
        <i x="3" s="1"/>
        <i x="4" s="1"/>
        <i x="0" s="1"/>
        <i x="1" s="1"/>
        <i x="13" s="1" nd="1"/>
        <i x="16" s="1" nd="1"/>
        <i x="36" s="1" nd="1"/>
        <i x="19" s="1" nd="1"/>
        <i x="30" s="1" nd="1"/>
        <i x="25" s="1" nd="1"/>
        <i x="29" s="1" nd="1"/>
        <i x="22" s="1" nd="1"/>
        <i x="7" s="1" nd="1"/>
        <i x="12" s="1" nd="1"/>
        <i x="33" s="1" nd="1"/>
        <i x="9" s="1" nd="1"/>
        <i x="15" s="1" nd="1"/>
        <i x="26" s="1" nd="1"/>
        <i x="11" s="1" nd="1"/>
        <i x="20" s="1" nd="1"/>
        <i x="31" s="1" nd="1"/>
        <i x="6" s="1" nd="1"/>
        <i x="23" s="1" nd="1"/>
        <i x="35" s="1" nd="1"/>
        <i x="14" s="1" nd="1"/>
        <i x="24" s="1" nd="1"/>
        <i x="17" s="1" nd="1"/>
        <i x="21" s="1" nd="1"/>
        <i x="27" s="1" nd="1"/>
        <i x="8" s="1" nd="1"/>
        <i x="10" s="1" nd="1"/>
        <i x="28" s="1" nd="1"/>
        <i x="18" s="1" nd="1"/>
        <i x="38" s="1" nd="1"/>
        <i x="32" s="1" nd="1"/>
        <i x="39" s="1" nd="1"/>
        <i x="40" s="1" nd="1"/>
        <i x="37" s="1" nd="1"/>
        <i x="34" s="1" nd="1"/>
        <i x="5"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project_agency" xr10:uid="{D49301D1-2E02-4C46-92E2-64A97E772DB6}" sourceName="WASH project agency">
  <pivotTables>
    <pivotTable tabId="100" name="PivotTable1"/>
  </pivotTables>
  <data>
    <tabular pivotCacheId="1">
      <items count="43">
        <i x="3" s="1"/>
        <i x="5" s="1"/>
        <i x="4" s="1"/>
        <i x="2" s="1"/>
        <i x="1" s="1"/>
        <i x="7" s="1"/>
        <i x="6" s="1"/>
        <i x="0" s="1"/>
        <i x="26" s="1" nd="1"/>
        <i x="36" s="1" nd="1"/>
        <i x="37" s="1" nd="1"/>
        <i x="42" s="1" nd="1"/>
        <i x="32" s="1" nd="1"/>
        <i x="9" s="1" nd="1"/>
        <i x="21" s="1" nd="1"/>
        <i x="11" s="1" nd="1"/>
        <i x="40" s="1" nd="1"/>
        <i x="30" s="1" nd="1"/>
        <i x="14" s="1" nd="1"/>
        <i x="12" s="1" nd="1"/>
        <i x="31" s="1" nd="1"/>
        <i x="28" s="1" nd="1"/>
        <i x="24" s="1" nd="1"/>
        <i x="18" s="1" nd="1"/>
        <i x="35" s="1" nd="1"/>
        <i x="16" s="1" nd="1"/>
        <i x="15" s="1" nd="1"/>
        <i x="38" s="1" nd="1"/>
        <i x="29" s="1" nd="1"/>
        <i x="23" s="1" nd="1"/>
        <i x="22" s="1" nd="1"/>
        <i x="20" s="1" nd="1"/>
        <i x="19" s="1" nd="1"/>
        <i x="39" s="1" nd="1"/>
        <i x="10" s="1" nd="1"/>
        <i x="17" s="1" nd="1"/>
        <i x="41" s="1" nd="1"/>
        <i x="13" s="1" nd="1"/>
        <i x="25" s="1" nd="1"/>
        <i x="27" s="1" nd="1"/>
        <i x="34" s="1" nd="1"/>
        <i x="33" s="1" nd="1"/>
        <i x="8"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implementing_agency" xr10:uid="{FE716E7A-CB0E-42A9-A1D0-0CCA6A9E4FF0}" sourceName="WASH implementing agency">
  <pivotTables>
    <pivotTable tabId="114" name="PivotTable1"/>
  </pivotTables>
  <data>
    <tabular pivotCacheId="1">
      <items count="42">
        <i x="3" s="1"/>
        <i x="5" s="1"/>
        <i x="4" s="1"/>
        <i x="2" s="1"/>
        <i x="1" s="1"/>
        <i x="7" s="1"/>
        <i x="6" s="1"/>
        <i x="0" s="1"/>
        <i x="24" s="1" nd="1"/>
        <i x="36" s="1" nd="1"/>
        <i x="37" s="1" nd="1"/>
        <i x="40" s="1" nd="1"/>
        <i x="34" s="1" nd="1"/>
        <i x="9" s="1" nd="1"/>
        <i x="18" s="1" nd="1"/>
        <i x="11" s="1" nd="1"/>
        <i x="38" s="1" nd="1"/>
        <i x="31" s="1" nd="1"/>
        <i x="14" s="1" nd="1"/>
        <i x="19" s="1" nd="1"/>
        <i x="12" s="1" nd="1"/>
        <i x="25" s="1" nd="1"/>
        <i x="32" s="1" nd="1"/>
        <i x="29" s="1" nd="1"/>
        <i x="22" s="1" nd="1"/>
        <i x="41" s="1" nd="1"/>
        <i x="16" s="1" nd="1"/>
        <i x="33" s="1" nd="1"/>
        <i x="15" s="1" nd="1"/>
        <i x="30" s="1" nd="1"/>
        <i x="21" s="1" nd="1"/>
        <i x="20" s="1" nd="1"/>
        <i x="17" s="1" nd="1"/>
        <i x="10" s="1" nd="1"/>
        <i x="39" s="1" nd="1"/>
        <i x="13" s="1" nd="1"/>
        <i x="23" s="1" nd="1"/>
        <i x="27" s="1" nd="1"/>
        <i x="26" s="1" nd="1"/>
        <i x="28" s="1" nd="1"/>
        <i x="35" s="1" nd="1"/>
        <i x="8"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implementing_agency1" xr10:uid="{913F7CE1-D178-4DE2-BD10-90BBF877CEC1}" sourceName="WASH implementing agency">
  <pivotTables>
    <pivotTable tabId="102" name="PivotTable1"/>
  </pivotTables>
  <data>
    <tabular pivotCacheId="1">
      <items count="42">
        <i x="3" s="1"/>
        <i x="5" s="1"/>
        <i x="4" s="1"/>
        <i x="2" s="1"/>
        <i x="1" s="1"/>
        <i x="7" s="1"/>
        <i x="6" s="1"/>
        <i x="0" s="1"/>
        <i x="24" s="1" nd="1"/>
        <i x="36" s="1" nd="1"/>
        <i x="37" s="1" nd="1"/>
        <i x="40" s="1" nd="1"/>
        <i x="34" s="1" nd="1"/>
        <i x="9" s="1" nd="1"/>
        <i x="18" s="1" nd="1"/>
        <i x="11" s="1" nd="1"/>
        <i x="38" s="1" nd="1"/>
        <i x="31" s="1" nd="1"/>
        <i x="14" s="1" nd="1"/>
        <i x="19" s="1" nd="1"/>
        <i x="12" s="1" nd="1"/>
        <i x="25" s="1" nd="1"/>
        <i x="32" s="1" nd="1"/>
        <i x="29" s="1" nd="1"/>
        <i x="22" s="1" nd="1"/>
        <i x="41" s="1" nd="1"/>
        <i x="16" s="1" nd="1"/>
        <i x="33" s="1" nd="1"/>
        <i x="15" s="1" nd="1"/>
        <i x="30" s="1" nd="1"/>
        <i x="21" s="1" nd="1"/>
        <i x="20" s="1" nd="1"/>
        <i x="17" s="1" nd="1"/>
        <i x="10" s="1" nd="1"/>
        <i x="39" s="1" nd="1"/>
        <i x="13" s="1" nd="1"/>
        <i x="23" s="1" nd="1"/>
        <i x="27" s="1" nd="1"/>
        <i x="26" s="1" nd="1"/>
        <i x="28" s="1" nd="1"/>
        <i x="35" s="1" nd="1"/>
        <i x="8"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vered" xr10:uid="{51FFE6AE-4EF8-4230-9562-F79F35473C5B}" sourceName="Covered">
  <pivotTables>
    <pivotTable tabId="92" name="Geo_Gap"/>
  </pivotTables>
  <data>
    <tabular pivotCacheId="1">
      <items count="4">
        <i x="0" s="1"/>
        <i x="3" s="1" nd="1"/>
        <i x="2" s="1" nd="1"/>
        <i x="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of accommodation" xr10:uid="{00000000-0014-0000-FFFF-FFFF02000000}" cache="Slicer_Type_of_accommodation" caption="Type of accommodation" style="SlicerStyleLight5" rowHeight="304800"/>
  <slicer name="Covered" xr10:uid="{FF290770-7355-4B9B-9235-88DB71C76D61}" cache="Slicer_Covered" caption="Covered" style="SlicerStyleLight1" rowHeight="304800"/>
  <slicer name="Township 3" xr10:uid="{3788EE2E-E8C7-4E28-99E0-7A28ACBC5167}" cache="Slicer_Township3" caption="Township" style="SlicerStyleLight2" rowHeight="3048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ownship" xr10:uid="{00000000-0014-0000-FFFF-FFFF05000000}" cache="Slicer_Township" caption="Township" style="SlicerStyleOther2" rowHeight="304800"/>
  <slicer name="Reporting Period" xr10:uid="{00000000-0014-0000-FFFF-FFFF06000000}" cache="Slicer_Reporting_Period" caption="Reporting Period" style="SlicerStyleDark2" rowHeight="304800"/>
  <slicer name="WASH project agency" xr10:uid="{07409688-7D11-430B-A4EA-2F3DE5ACC717}" cache="Slicer_WASH_project_agency" caption="WASH project agency" columnCount="3" style="SlicerStyleLight2" rowHeight="3048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ownship 1" xr10:uid="{00000000-0014-0000-FFFF-FFFF08000000}" cache="Slicer_Township1" caption="Township" style="SlicerStyleLight1" rowHeight="304800"/>
  <slicer name="WASH implementing agency 1" xr10:uid="{BE80B595-4F20-4633-B542-1634A445F9E4}" cache="Slicer_WASH_implementing_agency1" caption="WASH implementing agency" columnCount="3" style="SlicerStyleLight2" rowHeight="3048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ownship 2" xr10:uid="{00000000-0014-0000-FFFF-FFFF0A000000}" cache="Slicer_Township2" caption="Township" style="SlicerStyleOther2" rowHeight="304800"/>
  <slicer name="WASH implementing agency" xr10:uid="{FD50785F-CE6E-47F7-A3FB-27BFBB24945A}" cache="Slicer_WASH_implementing_agency" caption="WASH implementing agency" columnCount="3" style="SlicerStyleLight5" rowHeight="3048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WWWW" displayName="WWWW" ref="A6:DD31" totalsRowShown="0" headerRowDxfId="838" dataDxfId="836" headerRowBorderDxfId="837" tableBorderDxfId="835">
  <autoFilter ref="A6:DD31" xr:uid="{8F7F9BA5-2E7B-4D14-9882-6C4DCAC07DEA}"/>
  <sortState ref="A7:DD31">
    <sortCondition ref="H8"/>
  </sortState>
  <tableColumns count="108">
    <tableColumn id="1" xr3:uid="{00000000-0010-0000-0000-000001000000}" name="Reporting Period" dataDxfId="834" totalsRowDxfId="833"/>
    <tableColumn id="75" xr3:uid="{00000000-0010-0000-0000-00004B000000}" name="WASH project agency" dataDxfId="832" totalsRowDxfId="831"/>
    <tableColumn id="2" xr3:uid="{00000000-0010-0000-0000-000002000000}" name="WASH implementing agency" dataDxfId="830" totalsRowDxfId="829"/>
    <tableColumn id="8" xr3:uid="{00000000-0010-0000-0000-000008000000}" name="Primary Donor covering WASH activities at site " dataDxfId="828" totalsRowDxfId="827"/>
    <tableColumn id="3" xr3:uid="{00000000-0010-0000-0000-000003000000}" name="State" dataDxfId="826" totalsRowDxfId="825"/>
    <tableColumn id="4" xr3:uid="{00000000-0010-0000-0000-000004000000}" name="Township" dataDxfId="824" totalsRowDxfId="823"/>
    <tableColumn id="82" xr3:uid="{00000000-0010-0000-0000-000052000000}" name="Location Type" dataDxfId="822" totalsRowDxfId="821" dataCellStyle="Percent">
      <calculatedColumnFormula>VLOOKUP(WWWW[[#This Row],[Site Name]],SiteDB6[[Site Name]:[Location Type]],8,FALSE)</calculatedColumnFormula>
    </tableColumn>
    <tableColumn id="5" xr3:uid="{00000000-0010-0000-0000-000005000000}" name="Site Name" dataDxfId="820"/>
    <tableColumn id="6" xr3:uid="{00000000-0010-0000-0000-000006000000}" name="Total HH" dataDxfId="819" totalsRowDxfId="818" dataCellStyle="Comma"/>
    <tableColumn id="7" xr3:uid="{00000000-0010-0000-0000-000007000000}" name="Total PoP " dataDxfId="817" totalsRowDxfId="816" dataCellStyle="Comma"/>
    <tableColumn id="77" xr3:uid="{00000000-0010-0000-0000-00004D000000}" name="Project start date" dataDxfId="815" totalsRowDxfId="814"/>
    <tableColumn id="9" xr3:uid="{00000000-0010-0000-0000-000009000000}" name="Project end date" dataDxfId="813" totalsRowDxfId="812"/>
    <tableColumn id="104" xr3:uid="{00000000-0010-0000-0000-000068000000}" name="#_students at TLS_CFS" dataDxfId="811" totalsRowDxfId="810" dataCellStyle="Comma"/>
    <tableColumn id="50" xr3:uid="{00000000-0010-0000-0000-000032000000}" name="#_ paid camp based WASH skilled labor" dataDxfId="809" totalsRowDxfId="808" dataCellStyle="Comma"/>
    <tableColumn id="51" xr3:uid="{00000000-0010-0000-0000-000033000000}" name="#_paid camp based unskilled WASH unskilled labor" dataDxfId="807" totalsRowDxfId="806" dataCellStyle="Comma"/>
    <tableColumn id="10" xr3:uid="{00000000-0010-0000-0000-00000A000000}" name="# Work days (approx) lost in this site due to access restrictions" dataDxfId="805" totalsRowDxfId="804" dataCellStyle="Comma"/>
    <tableColumn id="74" xr3:uid="{00000000-0010-0000-0000-00004A000000}" name="WASH Focal in camp management structure?" dataDxfId="803" totalsRowDxfId="802"/>
    <tableColumn id="83" xr3:uid="{00000000-0010-0000-0000-000053000000}" name="#_men on camp WASH team" dataDxfId="801" totalsRowDxfId="800" dataCellStyle="Comma"/>
    <tableColumn id="101" xr3:uid="{00000000-0010-0000-0000-000065000000}" name="#_women on camp WASH team" dataDxfId="799" totalsRowDxfId="798" dataCellStyle="Comma"/>
    <tableColumn id="14" xr3:uid="{00000000-0010-0000-0000-00000E000000}" name="#_Functional_improved_water_source" dataDxfId="797" totalsRowDxfId="796" dataCellStyle="Comma"/>
    <tableColumn id="102" xr3:uid="{00000000-0010-0000-0000-000066000000}" name="#_Existing_improved_water_source" dataDxfId="795" totalsRowDxfId="794" dataCellStyle="Comma"/>
    <tableColumn id="103" xr3:uid="{00000000-0010-0000-0000-000067000000}" name="#_litres_of_water_supplied_by_existing_water_boating/trucking " dataDxfId="793" totalsRowDxfId="792" dataCellStyle="Comma"/>
    <tableColumn id="15" xr3:uid="{00000000-0010-0000-0000-00000F000000}" name="#_litres_of_water_stored_in_ponds" dataDxfId="791" totalsRowDxfId="790" dataCellStyle="Comma"/>
    <tableColumn id="106" xr3:uid="{00000000-0010-0000-0000-00006A000000}" name="#_Water samples_Tested_at_water_source" dataDxfId="789" totalsRowDxfId="788" dataCellStyle="Comma"/>
    <tableColumn id="107" xr3:uid="{00000000-0010-0000-0000-00006B000000}" name="#_Water samples _passed_at_water source" dataDxfId="787" totalsRowDxfId="786" dataCellStyle="Comma"/>
    <tableColumn id="108" xr3:uid="{00000000-0010-0000-0000-00006C000000}" name="#_Water samples_Tested_at_HH" dataDxfId="785" totalsRowDxfId="784" dataCellStyle="Comma"/>
    <tableColumn id="109" xr3:uid="{00000000-0010-0000-0000-00006D000000}" name="#_Water samples _passed_at_HH" dataDxfId="783" totalsRowDxfId="782" dataCellStyle="Comma"/>
    <tableColumn id="110" xr3:uid="{00000000-0010-0000-0000-00006E000000}" name="#_HH_receiving_HH_water_storage items" dataDxfId="781" totalsRowDxfId="780" dataCellStyle="Comma"/>
    <tableColumn id="111" xr3:uid="{00000000-0010-0000-0000-00006F000000}" name="Avg_repair_time for_water_points_# days" dataDxfId="779" totalsRowDxfId="778" dataCellStyle="Comma"/>
    <tableColumn id="112" xr3:uid="{00000000-0010-0000-0000-000070000000}" name="#_Functional_water_point_at_TLS/CFS" dataDxfId="777" totalsRowDxfId="776" dataCellStyle="Comma"/>
    <tableColumn id="113" xr3:uid="{00000000-0010-0000-0000-000071000000}" name="WATER Comment" dataDxfId="775" totalsRowDxfId="774" dataCellStyle="Comma"/>
    <tableColumn id="87" xr3:uid="{00000000-0010-0000-0000-000057000000}" name="#_Functional_adult_latrines" dataDxfId="773" totalsRowDxfId="772" dataCellStyle="Comma"/>
    <tableColumn id="65" xr3:uid="{00000000-0010-0000-0000-000041000000}" name="#_Existing_latrines" dataDxfId="771" totalsRowDxfId="770" dataCellStyle="Comma"/>
    <tableColumn id="39" xr3:uid="{00000000-0010-0000-0000-000027000000}" name="#_latrines_repaired" dataDxfId="769" totalsRowDxfId="768" dataCellStyle="Comma"/>
    <tableColumn id="23" xr3:uid="{00000000-0010-0000-0000-000017000000}" name="%_of_OD_within_15ft_of_latrines" dataDxfId="767" totalsRowDxfId="766" dataCellStyle="Percent"/>
    <tableColumn id="24" xr3:uid="{00000000-0010-0000-0000-000018000000}" name="#_m3_of_faecal_sludge_removed_from_camp" dataDxfId="765" totalsRowDxfId="764" dataCellStyle="Comma"/>
    <tableColumn id="25" xr3:uid="{00000000-0010-0000-0000-000019000000}" name="%_of_Men_that_feel_safe_to_use_latrines_when_they_need_to_(or_at_day/night)'?" dataDxfId="763" totalsRowDxfId="762" dataCellStyle="Comma"/>
    <tableColumn id="122" xr3:uid="{00000000-0010-0000-0000-00007A000000}" name="%_of_Women_that_feel_safe_to_use_latrines_when_they_need_to_(or_at_day/night)?" dataDxfId="761" totalsRowDxfId="760" dataCellStyle="Comma"/>
    <tableColumn id="123" xr3:uid="{00000000-0010-0000-0000-00007B000000}" name="%_of_Boys_that_feel_safe_to_use_latrines_when_they_need_to_(or_at_day/night)?" dataDxfId="759" totalsRowDxfId="758" dataCellStyle="Comma"/>
    <tableColumn id="124" xr3:uid="{00000000-0010-0000-0000-00007C000000}" name="%_of_Girlss_that_feel_safe_to_use_latrines_when_they_need_to_(or_at_day/night)?" dataDxfId="757" totalsRowDxfId="756" dataCellStyle="Comma"/>
    <tableColumn id="105" xr3:uid="{00000000-0010-0000-0000-000069000000}" name="#_of_functional_children_latrines" dataDxfId="755" totalsRowDxfId="754" dataCellStyle="Comma"/>
    <tableColumn id="100" xr3:uid="{00000000-0010-0000-0000-000064000000}" name="#_of_PWD_with_adapted_sanitation_option" dataDxfId="753" totalsRowDxfId="752" dataCellStyle="Comma"/>
    <tableColumn id="26" xr3:uid="{00000000-0010-0000-0000-00001A000000}" name="#_of_latrines_in_TLS/CFS" dataDxfId="751" totalsRowDxfId="750" dataCellStyle="Comma"/>
    <tableColumn id="125" xr3:uid="{00000000-0010-0000-0000-00007D000000}" name="Is_there_an_effective_solid_waste_management_system_in_place?" dataDxfId="749" totalsRowDxfId="748" dataCellStyle="Comma"/>
    <tableColumn id="11" xr3:uid="{00000000-0010-0000-0000-00000B000000}" name="SANITATION Comments " dataDxfId="747" totalsRowDxfId="746"/>
    <tableColumn id="126" xr3:uid="{00000000-0010-0000-0000-00007E000000}" name="_#_of_Men_receiving_consultation_hygiene_promotion_messages_and_sessions" dataDxfId="745" totalsRowDxfId="744" dataCellStyle="Comma"/>
    <tableColumn id="127" xr3:uid="{00000000-0010-0000-0000-00007F000000}" name="_#_of_Women_receiving_consultation_hygiene_promotion_messages_and_sessions" dataDxfId="743" totalsRowDxfId="742" dataCellStyle="Comma"/>
    <tableColumn id="13" xr3:uid="{00000000-0010-0000-0000-00000D000000}" name="_#_of_Boys_receiving_consultation_hygiene_promotion_messages_and_sessions" dataDxfId="741" totalsRowDxfId="740" dataCellStyle="Comma"/>
    <tableColumn id="128" xr3:uid="{00000000-0010-0000-0000-000080000000}" name="_#_of_Girls_receiving_consultation_hygiene_promotion_messages_and_sessions" dataDxfId="739" totalsRowDxfId="738" dataCellStyle="Comma"/>
    <tableColumn id="129" xr3:uid="{00000000-0010-0000-0000-000081000000}" name="#_of_affected_households_receiving_a_sufficient_quantity_of_soap" dataDxfId="737" totalsRowDxfId="736" dataCellStyle="Comma"/>
    <tableColumn id="130" xr3:uid="{00000000-0010-0000-0000-000082000000}" name="#_of_affected_women_and_girls_receiving_a_sufficient_quantity_of_sanitary_pads" dataDxfId="735" totalsRowDxfId="734" dataCellStyle="Comma"/>
    <tableColumn id="133" xr3:uid="{00000000-0010-0000-0000-000085000000}" name="%_of_women_and_girls_who_report_that_they_have_an_adequate_system_for_disposing_of_used_sanitary_pads" dataDxfId="733" totalsRowDxfId="732" dataCellStyle="Comma"/>
    <tableColumn id="131" xr3:uid="{00000000-0010-0000-0000-000083000000}" name="%_of_affected_people_who_report_handwashing_at_key_times" dataDxfId="731" totalsRowDxfId="730" dataCellStyle="Comma"/>
    <tableColumn id="28" xr3:uid="{E1A787CA-836C-4110-BDEF-DA4080E56575}" name="%_of_households_observed_with_a_place_to_WASH_hands_with_soap_present" dataDxfId="729" totalsRowDxfId="728" dataCellStyle="Comma"/>
    <tableColumn id="132" xr3:uid="{00000000-0010-0000-0000-000084000000}" name="%_of_TLS/CFS_with_a_designated_place_for_children_to_wash_hands_where_soap_is_available" dataDxfId="727" totalsRowDxfId="726" dataCellStyle="Percent"/>
    <tableColumn id="134" xr3:uid="{00000000-0010-0000-0000-000086000000}" name="HYGIENE_Comments  _x000a_" dataDxfId="725" totalsRowDxfId="724"/>
    <tableColumn id="69" xr3:uid="{F08B8CAC-90B8-4AD5-ABFF-685A1F23A8C8}" name="%_of_affected_people_surveyed_who_report_feeling_satistfied_with_the_latrine_design_and_sanitation_service" dataDxfId="723" totalsRowDxfId="722" dataCellStyle="Percent"/>
    <tableColumn id="79" xr3:uid="{FC6D5E73-EE3C-4FE8-9811-A426C1B99932}" name="%_of_affected_people_surveyed_who_report_feeling_satistfied_with_the_water_point_design_and_water_service" dataDxfId="721" totalsRowDxfId="720" dataCellStyle="Percent"/>
    <tableColumn id="84" xr3:uid="{2428FCB9-2969-44B8-9F3C-E8FAE2B432E2}" name="#_of_affected_people_surveyed_who_report_feeling_informed_about_the_different_WASH_services_available_to_them" dataDxfId="719" totalsRowDxfId="718" dataCellStyle="Comma"/>
    <tableColumn id="17" xr3:uid="{15698A41-EB30-45BA-98B7-AE2A662D14C4}" name="%_of_complaints_received_that_result_in_timely_corrective_action_and_feedback_to_the_community" dataDxfId="717" totalsRowDxfId="716" dataCellStyle="Percent"/>
    <tableColumn id="32" xr3:uid="{6748107D-F9F0-4D7D-81DB-7754B604F3FB}" name="Diarrhoea_rate_per_10,000_ppl,_average_over_past_3_months_(extracted_from_EpiWeek_data_from_health)" dataDxfId="715" totalsRowDxfId="714" dataCellStyle="Comma"/>
    <tableColumn id="59" xr3:uid="{D6FBA125-DBAA-415B-AB99-7B45FCC427B9}" name="Have_any_groups_been_excluded_from_access_to_WASH_facilities_because_of_the_handover?" dataDxfId="713" totalsRowDxfId="712" dataCellStyle="Percent"/>
    <tableColumn id="20" xr3:uid="{00000000-0010-0000-0000-000014000000}" name="What_are_IDP's_primary_concerns_on_WASH_related_to_camp_closure?" dataDxfId="711" totalsRowDxfId="710"/>
    <tableColumn id="27" xr3:uid="{00000000-0010-0000-0000-00001B000000}" name="Do_you_know_who_is_responsible_to_maintain_and_repair_WASH_facilities?" dataDxfId="709" totalsRowDxfId="708" dataCellStyle="Percent"/>
    <tableColumn id="97" xr3:uid="{00000000-0010-0000-0000-000061000000}" name="%of Water samples which passed at water source" dataDxfId="707" totalsRowDxfId="706">
      <calculatedColumnFormula>IFERROR(WWWW[[#This Row],['#_Water samples _passed_at_water source]]/WWWW[[#This Row],['#_Water samples_Tested_at_water_source]],"no test")</calculatedColumnFormula>
    </tableColumn>
    <tableColumn id="98" xr3:uid="{00000000-0010-0000-0000-000062000000}" name="%Water samples which passed at HH" dataDxfId="705" totalsRowDxfId="704" dataCellStyle="Percent">
      <calculatedColumnFormula>IFERROR(WWWW[[#This Row],['#_Water samples _passed_at_HH]]/WWWW[[#This Row],['#_Water samples_Tested_at_HH]],"no test")</calculatedColumnFormula>
    </tableColumn>
    <tableColumn id="19" xr3:uid="{00000000-0010-0000-0000-000013000000}" name="Warter quality test done" dataDxfId="703" totalsRowDxfId="702" dataCellStyle="Percent">
      <calculatedColumnFormula>IF(AND(WWWW[[#This Row],[%of Water samples which passed at water source]]="no test",WWWW[[#This Row],[%Water samples which passed at HH]]="no test"),"No Test","Tested")</calculatedColumnFormula>
    </tableColumn>
    <tableColumn id="34" xr3:uid="{00000000-0010-0000-0000-000022000000}" name="Access to safe/improved water through improved water sources" dataDxfId="701" totalsRowDxfId="700" dataCellStyle="Percent">
      <calculatedColumnFormula>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calculatedColumnFormula>
    </tableColumn>
    <tableColumn id="89" xr3:uid="{00000000-0010-0000-0000-000059000000}" name="# people with equitable and continuous access to sufficient quantity of safe drinking water" dataDxfId="699" totalsRowDxfId="698">
      <calculatedColumnFormula>WWWW[[#This Row],[Access to safe/improved water through improved water sources]]*WWWW[[#This Row],[Total PoP ]]</calculatedColumnFormula>
    </tableColumn>
    <tableColumn id="37" xr3:uid="{00000000-0010-0000-0000-000025000000}" name="% Access to unimproved water points" dataDxfId="697" totalsRowDxfId="696" dataCellStyle="Percent">
      <calculatedColumnFormula>IF((WWWW[[#This Row],['#_litres_of_water_stored_in_ponds]]/90/15)/WWWW[[#This Row],[Total PoP ]]&gt;1,1,(WWWW[[#This Row],['#_litres_of_water_stored_in_ponds]]/90/15)/WWWW[[#This Row],[Total PoP ]])</calculatedColumnFormula>
    </tableColumn>
    <tableColumn id="16" xr3:uid="{00000000-0010-0000-0000-000010000000}" name="#People access to unimproved water sources" dataDxfId="695" totalsRowDxfId="694">
      <calculatedColumnFormula>WWWW[[#This Row],[% Access to unimproved water points]]*WWWW[[#This Row],[Total PoP ]]</calculatedColumnFormula>
    </tableColumn>
    <tableColumn id="41" xr3:uid="{00000000-0010-0000-0000-000029000000}" name="% HRP1" dataDxfId="693" totalsRowDxfId="692" dataCellStyle="Percent">
      <calculatedColumnFormula>IF(WWWW[[#This Row],[Access to safe/improved water through improved water sources]]+WWWW[[#This Row],[% Access to unimproved water points]]&gt;1,1,WWWW[[#This Row],[Access to safe/improved water through improved water sources]]+WWWW[[#This Row],[% Access to unimproved water points]])</calculatedColumnFormula>
    </tableColumn>
    <tableColumn id="42" xr3:uid="{00000000-0010-0000-0000-00002A000000}" name="HRP1" dataDxfId="691" totalsRowDxfId="690">
      <calculatedColumnFormula>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calculatedColumnFormula>
    </tableColumn>
    <tableColumn id="86" xr3:uid="{00000000-0010-0000-0000-000056000000}" name="#Water points coverage" dataDxfId="689" totalsRowDxfId="688">
      <calculatedColumnFormula>WWWW[[#This Row],[HRP1]]/500</calculatedColumnFormula>
    </tableColumn>
    <tableColumn id="85" xr3:uid="{00000000-0010-0000-0000-000055000000}" name="%equitable and continuous access to sufficient quantity of safe drinking and domestic water's GAP" dataDxfId="687" totalsRowDxfId="686">
      <calculatedColumnFormula>1-WWWW[[#This Row],[% HRP1]]</calculatedColumnFormula>
    </tableColumn>
    <tableColumn id="43" xr3:uid="{00000000-0010-0000-0000-00002B000000}" name="# people needs equitable and continuous access to sufficient quantity of safe drinking and domestic water GAP" dataDxfId="685" totalsRowDxfId="684">
      <calculatedColumnFormula>WWWW[[#This Row],[%equitable and continuous access to sufficient quantity of safe drinking and domestic water''s GAP]]*WWWW[[#This Row],[Total PoP ]]</calculatedColumnFormula>
    </tableColumn>
    <tableColumn id="78" xr3:uid="{00000000-0010-0000-0000-00004E000000}" name="Total required water points" dataDxfId="683" totalsRowDxfId="682" dataCellStyle="Percent">
      <calculatedColumnFormula>ROUND(IF(WWWW[[#This Row],[Total PoP ]]&lt;500,1,WWWW[[#This Row],[Total PoP ]]/500),0)</calculatedColumnFormula>
    </tableColumn>
    <tableColumn id="44" xr3:uid="{00000000-0010-0000-0000-00002C000000}" name="#Potential required new water points" dataDxfId="681" totalsRowDxfId="680" dataCellStyle="Percent">
      <calculatedColumnFormula>IF(WWWW[[#This Row],[Total required water points]]-WWWW[[#This Row],['#Water points coverage]]&lt;0,0,WWWW[[#This Row],[Total required water points]]-WWWW[[#This Row],['#Water points coverage]])</calculatedColumnFormula>
    </tableColumn>
    <tableColumn id="21" xr3:uid="{F4052D35-6786-4305-B493-888B73799200}" name="% HRP2" dataDxfId="679" totalsRowDxfId="678" dataCellStyle="Percent">
      <calculatedColumnFormula>WWWW[[#This Row],[HRP2]]/WWWW[[#This Row],[Total PoP ]]</calculatedColumnFormula>
    </tableColumn>
    <tableColumn id="18" xr3:uid="{00000000-0010-0000-0000-000012000000}" name="HRP2" dataDxfId="677" totalsRowDxfId="676">
      <calculatedColumnFormula>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calculatedColumnFormula>
    </tableColumn>
    <tableColumn id="12" xr3:uid="{00000000-0010-0000-0000-00000C000000}" name="# students access to functioning school latrines" dataDxfId="675" totalsRowDxfId="674" dataCellStyle="Percent">
      <calculatedColumnFormula>IF(WWWW[[#This Row],['#_of_latrines_in_TLS/CFS]]*50&gt;WWWW[[#This Row],['#_students at TLS_CFS]],WWWW[[#This Row],['#_students at TLS_CFS]],WWWW[[#This Row],['#_of_latrines_in_TLS/CFS]]*50)</calculatedColumnFormula>
    </tableColumn>
    <tableColumn id="73" xr3:uid="{00000000-0010-0000-0000-000049000000}" name="Total required Latrines" dataDxfId="673" totalsRowDxfId="672" dataCellStyle="Percent">
      <calculatedColumnFormula>ROUND(IF(WWWW[[#This Row],[Location Type 1]]="camp",WWWW[[#This Row],[Total PoP ]]/20),0)</calculatedColumnFormula>
    </tableColumn>
    <tableColumn id="49" xr3:uid="{00000000-0010-0000-0000-000031000000}" name="# potential required new latrines" dataDxfId="671" totalsRowDxfId="670" dataCellStyle="Percent">
      <calculatedColumnFormula>IF(WWWW[[#This Row],[Total required Latrines]]-WWWW[[#This Row],['#_Existing_latrines]]&lt;0,0,WWWW[[#This Row],[Total required Latrines]]-WWWW[[#This Row],['#_Existing_latrines]])</calculatedColumnFormula>
    </tableColumn>
    <tableColumn id="48" xr3:uid="{00000000-0010-0000-0000-000030000000}" name="% of Latrine Gap" dataDxfId="669" totalsRowDxfId="668">
      <calculatedColumnFormula>1-WWWW[[#This Row],[% HRP2]]</calculatedColumnFormula>
    </tableColumn>
    <tableColumn id="76" xr3:uid="{00000000-0010-0000-0000-00004C000000}" name="% Latrines requiring  repairs" dataDxfId="667" totalsRowDxfId="666" dataCellStyle="Percent">
      <calculatedColumnFormula>IF(WWWW[[#This Row],['#_Existing_latrines]]="","NA",(WWWW[[#This Row],['#_Existing_latrines]]-WWWW[[#This Row],['#_Functional_adult_latrines]])/WWWW[[#This Row],['#_Existing_latrines]])</calculatedColumnFormula>
    </tableColumn>
    <tableColumn id="54" xr3:uid="{00000000-0010-0000-0000-000036000000}" name="# people reached by regular dedicated hygiene promotion_5" dataDxfId="665" totalsRowDxfId="664">
      <calculatedColumnFormula>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calculatedColumnFormula>
    </tableColumn>
    <tableColumn id="40" xr3:uid="{00000000-0010-0000-0000-000028000000}" name="# People with access to soap" dataDxfId="663" totalsRowDxfId="662" dataCellStyle="Percent">
      <calculatedColumnFormula>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calculatedColumnFormula>
    </tableColumn>
    <tableColumn id="47" xr3:uid="{00000000-0010-0000-0000-00002F000000}" name="# People with access to Sanity Pads" dataDxfId="661" totalsRowDxfId="660" dataCellStyle="Percent">
      <calculatedColumnFormula>WWWW[[#This Row],['#_of_affected_women_and_girls_receiving_a_sufficient_quantity_of_sanitary_pads]]</calculatedColumnFormula>
    </tableColumn>
    <tableColumn id="95" xr3:uid="{00000000-0010-0000-0000-00005F000000}" name="# People received regular supply of hygiene items_6" dataDxfId="659" totalsRowDxfId="658" dataCellStyle="Percent">
      <calculatedColumnFormula>IF(WWWW[[#This Row],['# People with access to soap]]&gt;WWWW[[#This Row],['# People with access to Sanity Pads]],WWWW[[#This Row],['# People with access to soap]],WWWW[[#This Row],['# People with access to Sanity Pads]])</calculatedColumnFormula>
    </tableColumn>
    <tableColumn id="68" xr3:uid="{00000000-0010-0000-0000-000044000000}" name="HRP3" dataDxfId="657" totalsRowDxfId="656" dataCellStyle="Percent">
      <calculatedColumnFormula>IF(WWWW[[#This Row],['# people reached by regular dedicated hygiene promotion_5]]&gt;WWWW[[#This Row],['# People received regular supply of hygiene items_6]],WWWW[[#This Row],['# people reached by regular dedicated hygiene promotion_5]],WWWW[[#This Row],['# People received regular supply of hygiene items_6]])</calculatedColumnFormula>
    </tableColumn>
    <tableColumn id="53" xr3:uid="{00000000-0010-0000-0000-000035000000}" name="Hygiene Coverage%" dataDxfId="655" totalsRowDxfId="654">
      <calculatedColumnFormula>IF(WWWW[[#This Row],[HRP3]]/WWWW[[#This Row],[Total PoP ]]&gt;100%,100%,WWWW[[#This Row],[HRP3]]/WWWW[[#This Row],[Total PoP ]])</calculatedColumnFormula>
    </tableColumn>
    <tableColumn id="72" xr3:uid="{00000000-0010-0000-0000-000048000000}" name="Hygiene Gap%" dataDxfId="653" totalsRowDxfId="652" dataCellStyle="Percent">
      <calculatedColumnFormula>1-WWWW[[#This Row],[Hygiene Coverage%]]</calculatedColumnFormula>
    </tableColumn>
    <tableColumn id="96" xr3:uid="{00000000-0010-0000-0000-000060000000}" name="%people reached by regular dedicated hygiene promotion" dataDxfId="651" totalsRowDxfId="650" dataCellStyle="Percent">
      <calculatedColumnFormula>WWWW[[#This Row],['# people reached by regular dedicated hygiene promotion_5]]/WWWW[[#This Row],[Total PoP ]]</calculatedColumnFormula>
    </tableColumn>
    <tableColumn id="55" xr3:uid="{00000000-0010-0000-0000-000037000000}" name="%HH with access to soap" dataDxfId="649" totalsRowDxfId="648" dataCellStyle="Percent">
      <calculatedColumnFormula>IF(WWWW[[#This Row],['#_of_affected_households_receiving_a_sufficient_quantity_of_soap]]/WWWW[[#This Row],[Total HH]]&gt;1,1,WWWW[[#This Row],['#_of_affected_households_receiving_a_sufficient_quantity_of_soap]]/WWWW[[#This Row],[Total HH]])</calculatedColumnFormula>
    </tableColumn>
    <tableColumn id="31" xr3:uid="{FD8C69C6-3D27-4A27-BCF4-02830740C127}" name="Sites with TLS" dataDxfId="647" totalsRowDxfId="646">
      <calculatedColumnFormula>IF(WWWW[[#This Row],['#_students at TLS_CFS]]="","No","Yes")</calculatedColumnFormula>
    </tableColumn>
    <tableColumn id="58" xr3:uid="{00000000-0010-0000-0000-00003A000000}" name="CCCM Management" dataDxfId="645" totalsRowDxfId="644" dataCellStyle="Percent">
      <calculatedColumnFormula>VLOOKUP(WWWW[[#This Row],[Site Name]],SiteDB6[[Site Name]:[CCCM Management]],6,FALSE)</calculatedColumnFormula>
    </tableColumn>
    <tableColumn id="81" xr3:uid="{00000000-0010-0000-0000-000051000000}" name="CCCM Focal Agency" dataDxfId="643" totalsRowDxfId="642" dataCellStyle="Percent">
      <calculatedColumnFormula>VLOOKUP(WWWW[[#This Row],[Site Name]],SiteDB6[[Site Name]:[CCCM Focal Agency]],7,FALSE)</calculatedColumnFormula>
    </tableColumn>
    <tableColumn id="80" xr3:uid="{00000000-0010-0000-0000-000050000000}" name="Location Type 1" dataDxfId="641" totalsRowDxfId="640" dataCellStyle="Percent">
      <calculatedColumnFormula>VLOOKUP(WWWW[[#This Row],[Site Name]],SiteDB6[[Site Name]:[Location Type 1]],9,FALSE)</calculatedColumnFormula>
    </tableColumn>
    <tableColumn id="45" xr3:uid="{00000000-0010-0000-0000-00002D000000}" name="Type of accommodation" dataDxfId="639" totalsRowDxfId="638" dataCellStyle="Percent">
      <calculatedColumnFormula>VLOOKUP(WWWW[[#This Row],[Site Name]],SiteDB6[[Site Name]:[Type of Accommodation]],10,FALSE)</calculatedColumnFormula>
    </tableColumn>
    <tableColumn id="46" xr3:uid="{00000000-0010-0000-0000-00002E000000}" name="Ethnic or GCA/NGCA" dataDxfId="637" totalsRowDxfId="636" dataCellStyle="Percent">
      <calculatedColumnFormula>VLOOKUP(WWWW[[#This Row],[Site Name]],SiteDB6[[Site Name]:[Ethnic or GCA/NGCA]],11,FALSE)</calculatedColumnFormula>
    </tableColumn>
    <tableColumn id="60" xr3:uid="{00000000-0010-0000-0000-00003C000000}" name="Lat" dataDxfId="635" totalsRowDxfId="634" dataCellStyle="Percent">
      <calculatedColumnFormula>VLOOKUP(WWWW[[#This Row],[Site Name]],SiteDB6[[Site Name]:[Lat]],12,FALSE)</calculatedColumnFormula>
    </tableColumn>
    <tableColumn id="61" xr3:uid="{00000000-0010-0000-0000-00003D000000}" name="Long" dataDxfId="633" totalsRowDxfId="632" dataCellStyle="Percent">
      <calculatedColumnFormula>VLOOKUP(WWWW[[#This Row],[Site Name]],SiteDB6[[Site Name]:[Long]],13,FALSE)</calculatedColumnFormula>
    </tableColumn>
    <tableColumn id="62" xr3:uid="{00000000-0010-0000-0000-00003E000000}" name="Pcode" dataDxfId="631" totalsRowDxfId="630" dataCellStyle="Percent">
      <calculatedColumnFormula>VLOOKUP(WWWW[[#This Row],[Site Name]],SiteDB6[[Site Name]:[Pcode]],3,FALSE)</calculatedColumnFormula>
    </tableColumn>
    <tableColumn id="63" xr3:uid="{00000000-0010-0000-0000-00003F000000}" name="Covered" dataDxfId="629" totalsRowDxfId="628">
      <calculatedColumnFormula>IF(C7="none","Notcovered","Covered")</calculatedColumnFormula>
    </tableColumn>
    <tableColumn id="22" xr3:uid="{826CE2B6-5FC4-4AEB-8DBB-6684ACBBF4AF}" name="# of Male_People with disabilities" dataDxfId="627" totalsRowDxfId="626">
      <calculatedColumnFormula>VLOOKUP(WWWW[[#This Row],[Site Name]],SiteDB6[[Site Name]:[PWD_Total]],22,FALSE)</calculatedColumnFormula>
    </tableColumn>
    <tableColumn id="29" xr3:uid="{2F55C443-7C7C-4E42-8C0C-D0E64838ADAE}" name="# of Female_People with disabilities" dataDxfId="625" totalsRowDxfId="624">
      <calculatedColumnFormula>VLOOKUP(WWWW[[#This Row],[Site Name]],SiteDB6[[Site Name]:[PWD_Total]],23,FALSE)</calculatedColumnFormula>
    </tableColumn>
    <tableColumn id="30" xr3:uid="{0DE26D30-0937-450A-9585-92FC5884D6D1}" name="# of Total_People with disabilities" dataDxfId="623" totalsRowDxfId="622">
      <calculatedColumnFormula>VLOOKUP(WWWW[[#This Row],[Site Name]],SiteDB6[[Site Name]:[PWD_Total]],24,FALSE)</calculatedColumnFormula>
    </tableColumn>
    <tableColumn id="64" xr3:uid="{00000000-0010-0000-0000-000040000000}" name="Remark" dataDxfId="621" totalsRowDxfId="620"/>
  </tableColumns>
  <tableStyleInfo name="TableStyleMedium27"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SiteDB6" displayName="SiteDB6" ref="A2:Z1111" totalsRowShown="0" headerRowDxfId="613" dataDxfId="612">
  <sortState ref="A3:W1109">
    <sortCondition ref="A3:A1109"/>
    <sortCondition ref="B3:B1109"/>
    <sortCondition ref="C3:C1109"/>
  </sortState>
  <tableColumns count="26">
    <tableColumn id="13" xr3:uid="{00000000-0010-0000-0100-00000D000000}" name="State" dataDxfId="611"/>
    <tableColumn id="12" xr3:uid="{00000000-0010-0000-0100-00000C000000}" name="Township" dataDxfId="610"/>
    <tableColumn id="1" xr3:uid="{00000000-0010-0000-0100-000001000000}" name="Site Name" dataDxfId="609"/>
    <tableColumn id="26" xr3:uid="{00000000-0010-0000-0100-00001A000000}" name="open in cccm?" dataDxfId="608"/>
    <tableColumn id="2" xr3:uid="{00000000-0010-0000-0100-000002000000}" name="Pcode" dataDxfId="607"/>
    <tableColumn id="20" xr3:uid="{00000000-0010-0000-0100-000014000000}" name="Vtract" dataDxfId="606"/>
    <tableColumn id="21" xr3:uid="{00000000-0010-0000-0100-000015000000}" name="VillageWard" dataDxfId="605"/>
    <tableColumn id="3" xr3:uid="{00000000-0010-0000-0100-000003000000}" name="CCCM Management" dataDxfId="604"/>
    <tableColumn id="4" xr3:uid="{00000000-0010-0000-0100-000004000000}" name="CCCM Focal Agency" dataDxfId="603"/>
    <tableColumn id="5" xr3:uid="{00000000-0010-0000-0100-000005000000}" name="Location Type" dataDxfId="602"/>
    <tableColumn id="6" xr3:uid="{00000000-0010-0000-0100-000006000000}" name="Location Type 1" dataDxfId="601"/>
    <tableColumn id="7" xr3:uid="{00000000-0010-0000-0100-000007000000}" name="Type of Accommodation" dataDxfId="600"/>
    <tableColumn id="8" xr3:uid="{00000000-0010-0000-0100-000008000000}" name="Ethnic or GCA/NGCA" dataDxfId="599"/>
    <tableColumn id="10" xr3:uid="{00000000-0010-0000-0100-00000A000000}" name="Lat" dataDxfId="598"/>
    <tableColumn id="9" xr3:uid="{00000000-0010-0000-0100-000009000000}" name="Long" dataDxfId="597"/>
    <tableColumn id="11" xr3:uid="{00000000-0010-0000-0100-00000B000000}" name="HRP categories" dataDxfId="596"/>
    <tableColumn id="14" xr3:uid="{00000000-0010-0000-0100-00000E000000}" name="Current 4 W reported list" dataDxfId="595"/>
    <tableColumn id="15" xr3:uid="{00000000-0010-0000-0100-00000F000000}" name="HH_x000a_(Rakhine-CCCM as of 31st Jan 2019)_x000a_(Kachin/Shan-CCCM as of 31st March 2019)" dataDxfId="594"/>
    <tableColumn id="16" xr3:uid="{00000000-0010-0000-0100-000010000000}" name="Pop_x000a_(Rakhine-CCCM as of 31st Jan 2019)_x000a_(Kachin/Shan-CCCM as of 31st March 2019)" dataDxfId="593"/>
    <tableColumn id="17" xr3:uid="{00000000-0010-0000-0100-000011000000}" name="Updated Date" dataDxfId="592"/>
    <tableColumn id="18" xr3:uid="{00000000-0010-0000-0100-000012000000}" name="Remark" dataDxfId="591"/>
    <tableColumn id="19" xr3:uid="{00000000-0010-0000-0100-000013000000}" name="Site Name_(Old)" dataDxfId="590"/>
    <tableColumn id="24" xr3:uid="{00000000-0010-0000-0100-000018000000}" name="Comments form CCCM" dataDxfId="589"/>
    <tableColumn id="22" xr3:uid="{FF7E7C61-548A-4487-B9AE-0A934724C919}" name="PWD_Male" dataDxfId="588"/>
    <tableColumn id="23" xr3:uid="{654EFBAD-22A1-49C0-AB60-83A62C3C60F0}" name="PWD_Female" dataDxfId="587"/>
    <tableColumn id="25" xr3:uid="{719F0BE0-8EA8-40DC-A8EB-6402E5D429D2}" name="PWD_Total" dataDxfId="58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0CE7D1B-FA27-44CD-A7A6-7AE2A9503EC8}" name="Table4124" displayName="Table4124" ref="B62:G68" totalsRowShown="0" headerRowDxfId="41" dataDxfId="39" headerRowBorderDxfId="40" tableBorderDxfId="38" totalsRowBorderDxfId="37">
  <tableColumns count="6">
    <tableColumn id="1" xr3:uid="{7AAB66BC-5BF5-40FD-97AF-974F7637521D}" name="Gap in active camps / Township" dataDxfId="36"/>
    <tableColumn id="6" xr3:uid="{E335C298-4096-479C-9F84-9F534AB30841}" name="Partners " dataDxfId="35"/>
    <tableColumn id="2" xr3:uid="{ACC512AB-C6CA-48DF-8319-F409BB1D2EDF}" name="Total population" dataDxfId="34" dataCellStyle="Comma"/>
    <tableColumn id="3" xr3:uid="{0ACF7DF9-3CD0-4BE0-A469-5884EF213179}" name=" % _x000a_Water Gap" dataDxfId="33"/>
    <tableColumn id="4" xr3:uid="{D40DD8CD-93F1-46D7-B55E-1437D73B6B01}" name=" %_x000a_ Sanitation Gap" dataDxfId="32"/>
    <tableColumn id="5" xr3:uid="{219F4310-BB9C-4E5E-8F9A-AACDA441F896}" name="%  _x000a_Hygiene Gap" dataDxfId="3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B3:AC83" totalsRowShown="0" headerRowDxfId="5" dataDxfId="3" headerRowBorderDxfId="4" tableBorderDxfId="2" dataCellStyle="Normal_Township">
  <autoFilter ref="AB3:AC83" xr:uid="{00000000-0009-0000-0100-000001000000}"/>
  <sortState ref="AB4:AC83">
    <sortCondition ref="AB4:AB83"/>
    <sortCondition ref="AC4:AC83"/>
  </sortState>
  <tableColumns count="2">
    <tableColumn id="1" xr3:uid="{00000000-0010-0000-0600-000001000000}" name="State_list" dataDxfId="1" dataCellStyle="Normal_Township"/>
    <tableColumn id="2" xr3:uid="{00000000-0010-0000-0600-000002000000}" name="TSps" dataDxfId="0" dataCellStyle="Normal_Township"/>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ivotTable" Target="../pivotTables/pivotTable13.xml"/><Relationship Id="rId13" Type="http://schemas.openxmlformats.org/officeDocument/2006/relationships/pivotTable" Target="../pivotTables/pivotTable18.xml"/><Relationship Id="rId18" Type="http://schemas.openxmlformats.org/officeDocument/2006/relationships/pivotTable" Target="../pivotTables/pivotTable23.xml"/><Relationship Id="rId26" Type="http://schemas.openxmlformats.org/officeDocument/2006/relationships/pivotTable" Target="../pivotTables/pivotTable31.xml"/><Relationship Id="rId3" Type="http://schemas.openxmlformats.org/officeDocument/2006/relationships/pivotTable" Target="../pivotTables/pivotTable8.xml"/><Relationship Id="rId21" Type="http://schemas.openxmlformats.org/officeDocument/2006/relationships/pivotTable" Target="../pivotTables/pivotTable26.xml"/><Relationship Id="rId7" Type="http://schemas.openxmlformats.org/officeDocument/2006/relationships/pivotTable" Target="../pivotTables/pivotTable12.xml"/><Relationship Id="rId12" Type="http://schemas.openxmlformats.org/officeDocument/2006/relationships/pivotTable" Target="../pivotTables/pivotTable17.xml"/><Relationship Id="rId17" Type="http://schemas.openxmlformats.org/officeDocument/2006/relationships/pivotTable" Target="../pivotTables/pivotTable22.xml"/><Relationship Id="rId25" Type="http://schemas.openxmlformats.org/officeDocument/2006/relationships/pivotTable" Target="../pivotTables/pivotTable30.xml"/><Relationship Id="rId2" Type="http://schemas.openxmlformats.org/officeDocument/2006/relationships/pivotTable" Target="../pivotTables/pivotTable7.xml"/><Relationship Id="rId16" Type="http://schemas.openxmlformats.org/officeDocument/2006/relationships/pivotTable" Target="../pivotTables/pivotTable21.xml"/><Relationship Id="rId20" Type="http://schemas.openxmlformats.org/officeDocument/2006/relationships/pivotTable" Target="../pivotTables/pivotTable25.xml"/><Relationship Id="rId29" Type="http://schemas.openxmlformats.org/officeDocument/2006/relationships/drawing" Target="../drawings/drawing5.xml"/><Relationship Id="rId1" Type="http://schemas.openxmlformats.org/officeDocument/2006/relationships/pivotTable" Target="../pivotTables/pivotTable6.xml"/><Relationship Id="rId6" Type="http://schemas.openxmlformats.org/officeDocument/2006/relationships/pivotTable" Target="../pivotTables/pivotTable11.xml"/><Relationship Id="rId11" Type="http://schemas.openxmlformats.org/officeDocument/2006/relationships/pivotTable" Target="../pivotTables/pivotTable16.xml"/><Relationship Id="rId24" Type="http://schemas.openxmlformats.org/officeDocument/2006/relationships/pivotTable" Target="../pivotTables/pivotTable29.xml"/><Relationship Id="rId5" Type="http://schemas.openxmlformats.org/officeDocument/2006/relationships/pivotTable" Target="../pivotTables/pivotTable10.xml"/><Relationship Id="rId15" Type="http://schemas.openxmlformats.org/officeDocument/2006/relationships/pivotTable" Target="../pivotTables/pivotTable20.xml"/><Relationship Id="rId23" Type="http://schemas.openxmlformats.org/officeDocument/2006/relationships/pivotTable" Target="../pivotTables/pivotTable28.xml"/><Relationship Id="rId28" Type="http://schemas.openxmlformats.org/officeDocument/2006/relationships/printerSettings" Target="../printerSettings/printerSettings8.bin"/><Relationship Id="rId10" Type="http://schemas.openxmlformats.org/officeDocument/2006/relationships/pivotTable" Target="../pivotTables/pivotTable15.xml"/><Relationship Id="rId19" Type="http://schemas.openxmlformats.org/officeDocument/2006/relationships/pivotTable" Target="../pivotTables/pivotTable24.xml"/><Relationship Id="rId4" Type="http://schemas.openxmlformats.org/officeDocument/2006/relationships/pivotTable" Target="../pivotTables/pivotTable9.xml"/><Relationship Id="rId9" Type="http://schemas.openxmlformats.org/officeDocument/2006/relationships/pivotTable" Target="../pivotTables/pivotTable14.xml"/><Relationship Id="rId14" Type="http://schemas.openxmlformats.org/officeDocument/2006/relationships/pivotTable" Target="../pivotTables/pivotTable19.xml"/><Relationship Id="rId22" Type="http://schemas.openxmlformats.org/officeDocument/2006/relationships/pivotTable" Target="../pivotTables/pivotTable27.xml"/><Relationship Id="rId27" Type="http://schemas.openxmlformats.org/officeDocument/2006/relationships/pivotTable" Target="../pivotTables/pivotTable32.xml"/><Relationship Id="rId30" Type="http://schemas.microsoft.com/office/2007/relationships/slicer" Target="../slicers/slicer1.xml"/></Relationships>
</file>

<file path=xl/worksheets/_rels/sheet11.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6.xml"/><Relationship Id="rId1" Type="http://schemas.openxmlformats.org/officeDocument/2006/relationships/pivotTable" Target="../pivotTables/pivotTable3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10.xml"/><Relationship Id="rId1" Type="http://schemas.openxmlformats.org/officeDocument/2006/relationships/pivotTable" Target="../pivotTables/pivotTable34.xml"/></Relationships>
</file>

<file path=xl/worksheets/_rels/sheet1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11.xml"/><Relationship Id="rId1" Type="http://schemas.openxmlformats.org/officeDocument/2006/relationships/pivotTable" Target="../pivotTables/pivotTable3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4.xml"/><Relationship Id="rId7" Type="http://schemas.openxmlformats.org/officeDocument/2006/relationships/comments" Target="../comments2.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48"/>
  <sheetViews>
    <sheetView zoomScale="96" zoomScaleNormal="96" workbookViewId="0">
      <selection activeCell="Y15" sqref="Y15"/>
    </sheetView>
  </sheetViews>
  <sheetFormatPr defaultColWidth="7.75" defaultRowHeight="15"/>
  <cols>
    <col min="1" max="1" width="7.125" style="21" customWidth="1"/>
    <col min="2" max="2" width="2.25" style="21" customWidth="1"/>
    <col min="3" max="19" width="7.75" style="21"/>
    <col min="20" max="20" width="25.125" style="21" customWidth="1"/>
    <col min="21" max="16384" width="7.75" style="21"/>
  </cols>
  <sheetData>
    <row r="1" spans="2:20" ht="28.15" customHeight="1" thickBot="1"/>
    <row r="2" spans="2:20" s="22" customFormat="1" ht="35.450000000000003" customHeight="1" thickTop="1" thickBot="1">
      <c r="B2" s="884" t="s">
        <v>79</v>
      </c>
      <c r="C2" s="885"/>
      <c r="D2" s="885"/>
      <c r="E2" s="885"/>
      <c r="F2" s="885"/>
      <c r="G2" s="885"/>
      <c r="H2" s="885"/>
      <c r="I2" s="885"/>
      <c r="J2" s="885"/>
      <c r="K2" s="885"/>
      <c r="L2" s="885"/>
      <c r="M2" s="885"/>
      <c r="N2" s="885"/>
      <c r="O2" s="885"/>
      <c r="P2" s="885"/>
      <c r="Q2" s="885"/>
      <c r="R2" s="885"/>
      <c r="S2" s="885"/>
      <c r="T2" s="886"/>
    </row>
    <row r="3" spans="2:20" ht="15.75" thickTop="1">
      <c r="B3" s="23"/>
      <c r="C3" s="24"/>
      <c r="D3" s="24"/>
      <c r="E3" s="24"/>
      <c r="F3" s="24"/>
      <c r="G3" s="24"/>
      <c r="H3" s="24"/>
      <c r="I3" s="24"/>
      <c r="J3" s="24"/>
      <c r="K3" s="24"/>
      <c r="L3" s="24"/>
      <c r="M3" s="24"/>
      <c r="N3" s="24"/>
      <c r="O3" s="24"/>
      <c r="P3" s="24"/>
      <c r="Q3" s="24"/>
      <c r="R3" s="24"/>
      <c r="S3" s="24"/>
      <c r="T3" s="25"/>
    </row>
    <row r="4" spans="2:20">
      <c r="B4" s="23"/>
      <c r="C4" s="26" t="s">
        <v>80</v>
      </c>
      <c r="D4" s="24"/>
      <c r="E4" s="24"/>
      <c r="F4" s="24"/>
      <c r="G4" s="24"/>
      <c r="H4" s="24"/>
      <c r="I4" s="24"/>
      <c r="J4" s="24"/>
      <c r="K4" s="24"/>
      <c r="L4" s="24"/>
      <c r="M4" s="24"/>
      <c r="N4" s="24"/>
      <c r="O4" s="24"/>
      <c r="P4" s="24"/>
      <c r="Q4" s="24"/>
      <c r="R4" s="24"/>
      <c r="S4" s="24"/>
      <c r="T4" s="25"/>
    </row>
    <row r="5" spans="2:20">
      <c r="B5" s="23"/>
      <c r="C5" s="24"/>
      <c r="D5" s="24" t="s">
        <v>81</v>
      </c>
      <c r="E5" s="24"/>
      <c r="F5" s="24"/>
      <c r="G5" s="24"/>
      <c r="H5" s="24"/>
      <c r="I5" s="24"/>
      <c r="J5" s="24"/>
      <c r="K5" s="24"/>
      <c r="L5" s="24"/>
      <c r="M5" s="24"/>
      <c r="N5" s="24"/>
      <c r="O5" s="24"/>
      <c r="P5" s="24"/>
      <c r="Q5" s="24"/>
      <c r="R5" s="24"/>
      <c r="S5" s="24"/>
      <c r="T5" s="25"/>
    </row>
    <row r="6" spans="2:20">
      <c r="B6" s="23"/>
      <c r="C6" s="24"/>
      <c r="D6" s="24" t="s">
        <v>82</v>
      </c>
      <c r="E6" s="24"/>
      <c r="F6" s="24"/>
      <c r="G6" s="24"/>
      <c r="H6" s="24"/>
      <c r="I6" s="24"/>
      <c r="J6" s="24"/>
      <c r="K6" s="24"/>
      <c r="L6" s="24"/>
      <c r="M6" s="24"/>
      <c r="N6" s="24"/>
      <c r="O6" s="24"/>
      <c r="P6" s="24"/>
      <c r="Q6" s="24"/>
      <c r="R6" s="24"/>
      <c r="S6" s="24"/>
      <c r="T6" s="25"/>
    </row>
    <row r="7" spans="2:20">
      <c r="B7" s="23"/>
      <c r="C7" s="24"/>
      <c r="D7" s="24" t="s">
        <v>83</v>
      </c>
      <c r="E7" s="24"/>
      <c r="F7" s="24"/>
      <c r="G7" s="24"/>
      <c r="H7" s="24"/>
      <c r="I7" s="24"/>
      <c r="J7" s="24"/>
      <c r="K7" s="24"/>
      <c r="L7" s="24"/>
      <c r="M7" s="24"/>
      <c r="N7" s="24"/>
      <c r="O7" s="24"/>
      <c r="P7" s="24"/>
      <c r="Q7" s="24"/>
      <c r="R7" s="24"/>
      <c r="S7" s="24"/>
      <c r="T7" s="25"/>
    </row>
    <row r="8" spans="2:20">
      <c r="B8" s="23"/>
      <c r="C8" s="24"/>
      <c r="D8" s="24" t="s">
        <v>84</v>
      </c>
      <c r="E8" s="24"/>
      <c r="F8" s="24"/>
      <c r="G8" s="24"/>
      <c r="H8" s="24"/>
      <c r="I8" s="24"/>
      <c r="J8" s="24"/>
      <c r="K8" s="24"/>
      <c r="L8" s="24"/>
      <c r="M8" s="24"/>
      <c r="N8" s="24"/>
      <c r="O8" s="24"/>
      <c r="P8" s="24"/>
      <c r="Q8" s="24"/>
      <c r="R8" s="24"/>
      <c r="S8" s="24"/>
      <c r="T8" s="25"/>
    </row>
    <row r="9" spans="2:20">
      <c r="B9" s="23"/>
      <c r="C9" s="24"/>
      <c r="D9" s="24" t="s">
        <v>85</v>
      </c>
      <c r="E9" s="24"/>
      <c r="F9" s="24"/>
      <c r="G9" s="24"/>
      <c r="H9" s="24"/>
      <c r="I9" s="24"/>
      <c r="J9" s="24"/>
      <c r="K9" s="24"/>
      <c r="L9" s="24"/>
      <c r="M9" s="24"/>
      <c r="N9" s="24"/>
      <c r="O9" s="24"/>
      <c r="P9" s="24"/>
      <c r="Q9" s="24"/>
      <c r="R9" s="24"/>
      <c r="S9" s="24"/>
      <c r="T9" s="25"/>
    </row>
    <row r="10" spans="2:20">
      <c r="B10" s="23"/>
      <c r="C10" s="24"/>
      <c r="D10" s="24" t="s">
        <v>86</v>
      </c>
      <c r="E10" s="24"/>
      <c r="F10" s="24"/>
      <c r="G10" s="24"/>
      <c r="H10" s="24"/>
      <c r="I10" s="24"/>
      <c r="J10" s="24"/>
      <c r="K10" s="24"/>
      <c r="L10" s="24"/>
      <c r="M10" s="24"/>
      <c r="N10" s="24"/>
      <c r="O10" s="24"/>
      <c r="P10" s="24"/>
      <c r="Q10" s="24"/>
      <c r="R10" s="24"/>
      <c r="S10" s="24"/>
      <c r="T10" s="25"/>
    </row>
    <row r="11" spans="2:20">
      <c r="B11" s="23"/>
      <c r="C11" s="24"/>
      <c r="D11" s="24" t="s">
        <v>87</v>
      </c>
      <c r="E11" s="24"/>
      <c r="F11" s="24"/>
      <c r="G11" s="24"/>
      <c r="H11" s="24"/>
      <c r="I11" s="24"/>
      <c r="J11" s="24"/>
      <c r="K11" s="24"/>
      <c r="L11" s="24"/>
      <c r="M11" s="24"/>
      <c r="N11" s="24"/>
      <c r="O11" s="24"/>
      <c r="P11" s="24"/>
      <c r="Q11" s="24"/>
      <c r="R11" s="24"/>
      <c r="S11" s="24"/>
      <c r="T11" s="25"/>
    </row>
    <row r="12" spans="2:20">
      <c r="B12" s="23"/>
      <c r="C12" s="24"/>
      <c r="D12" s="24" t="s">
        <v>88</v>
      </c>
      <c r="E12" s="24"/>
      <c r="F12" s="24"/>
      <c r="G12" s="24"/>
      <c r="H12" s="24"/>
      <c r="I12" s="24"/>
      <c r="J12" s="24"/>
      <c r="K12" s="24"/>
      <c r="L12" s="24"/>
      <c r="M12" s="24"/>
      <c r="N12" s="24"/>
      <c r="O12" s="24"/>
      <c r="P12" s="24"/>
      <c r="Q12" s="24"/>
      <c r="R12" s="24"/>
      <c r="S12" s="24"/>
      <c r="T12" s="25"/>
    </row>
    <row r="13" spans="2:20">
      <c r="B13" s="23"/>
      <c r="C13" s="24"/>
      <c r="D13" s="24" t="s">
        <v>89</v>
      </c>
      <c r="E13" s="24"/>
      <c r="F13" s="24"/>
      <c r="G13" s="24"/>
      <c r="H13" s="24"/>
      <c r="I13" s="24"/>
      <c r="J13" s="24"/>
      <c r="K13" s="24"/>
      <c r="L13" s="24"/>
      <c r="M13" s="24"/>
      <c r="N13" s="24"/>
      <c r="O13" s="24"/>
      <c r="P13" s="24"/>
      <c r="Q13" s="24"/>
      <c r="R13" s="24"/>
      <c r="S13" s="24"/>
      <c r="T13" s="25"/>
    </row>
    <row r="14" spans="2:20">
      <c r="B14" s="23"/>
      <c r="C14" s="24"/>
      <c r="D14" s="24"/>
      <c r="E14" s="24"/>
      <c r="F14" s="24"/>
      <c r="G14" s="24"/>
      <c r="H14" s="24"/>
      <c r="I14" s="24"/>
      <c r="J14" s="24"/>
      <c r="K14" s="24"/>
      <c r="L14" s="24"/>
      <c r="M14" s="24"/>
      <c r="N14" s="24"/>
      <c r="O14" s="24"/>
      <c r="P14" s="24"/>
      <c r="Q14" s="24"/>
      <c r="R14" s="24"/>
      <c r="S14" s="24"/>
      <c r="T14" s="25"/>
    </row>
    <row r="15" spans="2:20">
      <c r="B15" s="23"/>
      <c r="C15" s="26" t="s">
        <v>90</v>
      </c>
      <c r="D15" s="24"/>
      <c r="E15" s="24"/>
      <c r="F15" s="24"/>
      <c r="G15" s="24"/>
      <c r="H15" s="24"/>
      <c r="I15" s="24"/>
      <c r="J15" s="24"/>
      <c r="K15" s="24"/>
      <c r="L15" s="24"/>
      <c r="M15" s="24"/>
      <c r="N15" s="24"/>
      <c r="O15" s="24"/>
      <c r="P15" s="24"/>
      <c r="Q15" s="24"/>
      <c r="R15" s="24"/>
      <c r="S15" s="24"/>
      <c r="T15" s="25"/>
    </row>
    <row r="16" spans="2:20">
      <c r="B16" s="23"/>
      <c r="C16" s="24"/>
      <c r="D16" s="24" t="s">
        <v>91</v>
      </c>
      <c r="E16" s="24"/>
      <c r="F16" s="24"/>
      <c r="G16" s="24"/>
      <c r="H16" s="24"/>
      <c r="I16" s="24"/>
      <c r="J16" s="24"/>
      <c r="K16" s="24"/>
      <c r="L16" s="24"/>
      <c r="M16" s="24"/>
      <c r="N16" s="24"/>
      <c r="O16" s="24"/>
      <c r="P16" s="24"/>
      <c r="Q16" s="24"/>
      <c r="R16" s="24"/>
      <c r="S16" s="24"/>
      <c r="T16" s="25"/>
    </row>
    <row r="17" spans="2:20">
      <c r="B17" s="23"/>
      <c r="C17" s="24"/>
      <c r="D17" s="24" t="s">
        <v>92</v>
      </c>
      <c r="E17" s="24"/>
      <c r="F17" s="24"/>
      <c r="G17" s="24"/>
      <c r="H17" s="24"/>
      <c r="I17" s="24"/>
      <c r="J17" s="24"/>
      <c r="K17" s="24"/>
      <c r="L17" s="24"/>
      <c r="M17" s="24"/>
      <c r="N17" s="24"/>
      <c r="O17" s="24"/>
      <c r="P17" s="24"/>
      <c r="Q17" s="24"/>
      <c r="R17" s="24"/>
      <c r="S17" s="24"/>
      <c r="T17" s="25"/>
    </row>
    <row r="18" spans="2:20">
      <c r="B18" s="23"/>
      <c r="C18" s="24"/>
      <c r="D18" s="24" t="s">
        <v>93</v>
      </c>
      <c r="E18" s="24"/>
      <c r="F18" s="24"/>
      <c r="G18" s="24"/>
      <c r="H18" s="24"/>
      <c r="I18" s="24"/>
      <c r="J18" s="24"/>
      <c r="K18" s="24"/>
      <c r="L18" s="24"/>
      <c r="M18" s="24"/>
      <c r="N18" s="24"/>
      <c r="O18" s="24"/>
      <c r="P18" s="24"/>
      <c r="Q18" s="24"/>
      <c r="R18" s="24"/>
      <c r="S18" s="24"/>
      <c r="T18" s="25"/>
    </row>
    <row r="19" spans="2:20">
      <c r="B19" s="23"/>
      <c r="C19" s="24"/>
      <c r="D19" s="24" t="s">
        <v>94</v>
      </c>
      <c r="E19" s="24"/>
      <c r="F19" s="24"/>
      <c r="G19" s="24"/>
      <c r="H19" s="24"/>
      <c r="I19" s="24"/>
      <c r="J19" s="24"/>
      <c r="K19" s="24"/>
      <c r="L19" s="24"/>
      <c r="M19" s="24"/>
      <c r="N19" s="24"/>
      <c r="O19" s="24"/>
      <c r="P19" s="24"/>
      <c r="Q19" s="24"/>
      <c r="R19" s="24"/>
      <c r="S19" s="24"/>
      <c r="T19" s="25"/>
    </row>
    <row r="20" spans="2:20">
      <c r="B20" s="23"/>
      <c r="C20" s="24"/>
      <c r="D20" s="24" t="s">
        <v>95</v>
      </c>
      <c r="E20" s="24"/>
      <c r="F20" s="24"/>
      <c r="G20" s="24"/>
      <c r="H20" s="24"/>
      <c r="I20" s="24"/>
      <c r="J20" s="24"/>
      <c r="K20" s="24"/>
      <c r="L20" s="24"/>
      <c r="M20" s="24"/>
      <c r="N20" s="24"/>
      <c r="O20" s="24"/>
      <c r="P20" s="24"/>
      <c r="Q20" s="24"/>
      <c r="R20" s="24"/>
      <c r="S20" s="24"/>
      <c r="T20" s="25"/>
    </row>
    <row r="21" spans="2:20">
      <c r="B21" s="23"/>
      <c r="C21" s="24"/>
      <c r="D21" s="24" t="s">
        <v>96</v>
      </c>
      <c r="E21" s="24"/>
      <c r="F21" s="24"/>
      <c r="G21" s="24"/>
      <c r="H21" s="24"/>
      <c r="I21" s="24"/>
      <c r="J21" s="24"/>
      <c r="K21" s="24"/>
      <c r="L21" s="24"/>
      <c r="M21" s="24"/>
      <c r="N21" s="24"/>
      <c r="O21" s="24"/>
      <c r="P21" s="24"/>
      <c r="Q21" s="24"/>
      <c r="R21" s="24"/>
      <c r="S21" s="24"/>
      <c r="T21" s="25"/>
    </row>
    <row r="22" spans="2:20">
      <c r="B22" s="23"/>
      <c r="C22" s="24"/>
      <c r="D22" s="24" t="s">
        <v>97</v>
      </c>
      <c r="E22" s="24"/>
      <c r="F22" s="24"/>
      <c r="G22" s="24"/>
      <c r="H22" s="24"/>
      <c r="I22" s="24"/>
      <c r="J22" s="24"/>
      <c r="K22" s="24"/>
      <c r="L22" s="24"/>
      <c r="M22" s="24"/>
      <c r="N22" s="24"/>
      <c r="O22" s="24"/>
      <c r="P22" s="24"/>
      <c r="Q22" s="24"/>
      <c r="R22" s="24"/>
      <c r="S22" s="24"/>
      <c r="T22" s="25"/>
    </row>
    <row r="23" spans="2:20">
      <c r="B23" s="23"/>
      <c r="C23" s="24"/>
      <c r="D23" s="24"/>
      <c r="E23" s="24"/>
      <c r="F23" s="24"/>
      <c r="G23" s="24"/>
      <c r="H23" s="24"/>
      <c r="I23" s="24"/>
      <c r="J23" s="24"/>
      <c r="K23" s="24"/>
      <c r="L23" s="24"/>
      <c r="M23" s="24"/>
      <c r="N23" s="24"/>
      <c r="O23" s="24"/>
      <c r="P23" s="24"/>
      <c r="Q23" s="24"/>
      <c r="R23" s="24"/>
      <c r="S23" s="24"/>
      <c r="T23" s="25"/>
    </row>
    <row r="24" spans="2:20">
      <c r="B24" s="23"/>
      <c r="C24" s="26" t="s">
        <v>98</v>
      </c>
      <c r="D24" s="24"/>
      <c r="E24" s="24"/>
      <c r="F24" s="24"/>
      <c r="G24" s="24"/>
      <c r="H24" s="24"/>
      <c r="I24" s="24"/>
      <c r="J24" s="24"/>
      <c r="K24" s="24"/>
      <c r="L24" s="24"/>
      <c r="M24" s="24"/>
      <c r="N24" s="24"/>
      <c r="O24" s="24"/>
      <c r="P24" s="24"/>
      <c r="Q24" s="24"/>
      <c r="R24" s="24"/>
      <c r="S24" s="24"/>
      <c r="T24" s="25"/>
    </row>
    <row r="25" spans="2:20">
      <c r="B25" s="23"/>
      <c r="C25" s="24"/>
      <c r="D25" s="24" t="s">
        <v>99</v>
      </c>
      <c r="E25" s="24"/>
      <c r="F25" s="24"/>
      <c r="G25" s="24"/>
      <c r="H25" s="24"/>
      <c r="I25" s="24"/>
      <c r="J25" s="24"/>
      <c r="K25" s="24"/>
      <c r="L25" s="24"/>
      <c r="M25" s="24"/>
      <c r="N25" s="24"/>
      <c r="O25" s="24"/>
      <c r="P25" s="24"/>
      <c r="Q25" s="24"/>
      <c r="R25" s="24"/>
      <c r="S25" s="24"/>
      <c r="T25" s="25"/>
    </row>
    <row r="26" spans="2:20" ht="27" customHeight="1">
      <c r="B26" s="23"/>
      <c r="C26" s="24"/>
      <c r="D26" s="887" t="s">
        <v>2789</v>
      </c>
      <c r="E26" s="888"/>
      <c r="F26" s="888"/>
      <c r="G26" s="888"/>
      <c r="H26" s="888"/>
      <c r="I26" s="888"/>
      <c r="J26" s="888"/>
      <c r="K26" s="888"/>
      <c r="L26" s="888"/>
      <c r="M26" s="888"/>
      <c r="N26" s="888"/>
      <c r="O26" s="888"/>
      <c r="P26" s="888"/>
      <c r="Q26" s="888"/>
      <c r="R26" s="888"/>
      <c r="S26" s="888"/>
      <c r="T26" s="889"/>
    </row>
    <row r="27" spans="2:20">
      <c r="B27" s="23"/>
      <c r="C27" s="24"/>
      <c r="D27" s="97" t="s">
        <v>1946</v>
      </c>
      <c r="E27" s="24"/>
      <c r="F27" s="24"/>
      <c r="G27" s="24"/>
      <c r="H27" s="24"/>
      <c r="I27" s="24"/>
      <c r="J27" s="24"/>
      <c r="K27" s="24"/>
      <c r="L27" s="24"/>
      <c r="M27" s="24"/>
      <c r="N27" s="24"/>
      <c r="O27" s="24"/>
      <c r="P27" s="24"/>
      <c r="Q27" s="24"/>
      <c r="R27" s="24"/>
      <c r="S27" s="24"/>
      <c r="T27" s="25"/>
    </row>
    <row r="28" spans="2:20">
      <c r="B28" s="23"/>
      <c r="C28" s="24"/>
      <c r="D28" s="24" t="s">
        <v>100</v>
      </c>
      <c r="E28" s="24"/>
      <c r="F28" s="24"/>
      <c r="G28" s="24"/>
      <c r="H28" s="24"/>
      <c r="I28" s="24"/>
      <c r="J28" s="24"/>
      <c r="K28" s="24"/>
      <c r="L28" s="24"/>
      <c r="M28" s="24"/>
      <c r="N28" s="24"/>
      <c r="O28" s="24"/>
      <c r="P28" s="24"/>
      <c r="Q28" s="24"/>
      <c r="R28" s="24"/>
      <c r="S28" s="24"/>
      <c r="T28" s="25"/>
    </row>
    <row r="29" spans="2:20">
      <c r="B29" s="23"/>
      <c r="C29" s="24"/>
      <c r="D29" s="506" t="s">
        <v>2790</v>
      </c>
      <c r="E29" s="24"/>
      <c r="F29" s="24"/>
      <c r="G29" s="24"/>
      <c r="H29" s="24"/>
      <c r="I29" s="24"/>
      <c r="J29" s="24"/>
      <c r="K29" s="24"/>
      <c r="L29" s="24"/>
      <c r="M29" s="24"/>
      <c r="N29" s="24"/>
      <c r="O29" s="24"/>
      <c r="P29" s="24"/>
      <c r="Q29" s="24"/>
      <c r="R29" s="24"/>
      <c r="S29" s="24"/>
      <c r="T29" s="25"/>
    </row>
    <row r="30" spans="2:20">
      <c r="B30" s="23"/>
      <c r="C30" s="24"/>
      <c r="D30" s="24" t="s">
        <v>101</v>
      </c>
      <c r="E30" s="24"/>
      <c r="F30" s="24"/>
      <c r="G30" s="24"/>
      <c r="H30" s="24"/>
      <c r="I30" s="24"/>
      <c r="J30" s="24"/>
      <c r="K30" s="24"/>
      <c r="L30" s="24"/>
      <c r="M30" s="24"/>
      <c r="N30" s="24"/>
      <c r="O30" s="24"/>
      <c r="P30" s="24"/>
      <c r="Q30" s="24"/>
      <c r="R30" s="24"/>
      <c r="S30" s="24"/>
      <c r="T30" s="25"/>
    </row>
    <row r="31" spans="2:20">
      <c r="B31" s="23"/>
      <c r="C31" s="24"/>
      <c r="D31" s="97" t="s">
        <v>1948</v>
      </c>
      <c r="E31" s="24"/>
      <c r="F31" s="24"/>
      <c r="G31" s="24"/>
      <c r="H31" s="24"/>
      <c r="I31" s="24"/>
      <c r="J31" s="24"/>
      <c r="K31" s="24"/>
      <c r="L31" s="24"/>
      <c r="M31" s="24"/>
      <c r="N31" s="24"/>
      <c r="O31" s="24"/>
      <c r="P31" s="24"/>
      <c r="Q31" s="24"/>
      <c r="R31" s="24"/>
      <c r="S31" s="24"/>
      <c r="T31" s="25"/>
    </row>
    <row r="32" spans="2:20">
      <c r="B32" s="23"/>
      <c r="C32" s="24"/>
      <c r="D32" s="24" t="s">
        <v>102</v>
      </c>
      <c r="E32" s="24"/>
      <c r="F32" s="24"/>
      <c r="G32" s="24"/>
      <c r="H32" s="24"/>
      <c r="I32" s="24"/>
      <c r="J32" s="24"/>
      <c r="K32" s="24"/>
      <c r="L32" s="24"/>
      <c r="M32" s="24"/>
      <c r="N32" s="24"/>
      <c r="O32" s="24"/>
      <c r="P32" s="24"/>
      <c r="Q32" s="24"/>
      <c r="R32" s="24"/>
      <c r="S32" s="24"/>
      <c r="T32" s="25"/>
    </row>
    <row r="33" spans="2:20">
      <c r="B33" s="23"/>
      <c r="C33" s="24"/>
      <c r="D33" s="24" t="s">
        <v>103</v>
      </c>
      <c r="E33" s="24"/>
      <c r="F33" s="24"/>
      <c r="G33" s="24"/>
      <c r="H33" s="24"/>
      <c r="I33" s="24"/>
      <c r="J33" s="24"/>
      <c r="K33" s="24"/>
      <c r="L33" s="24"/>
      <c r="M33" s="24"/>
      <c r="N33" s="24"/>
      <c r="O33" s="24"/>
      <c r="P33" s="24"/>
      <c r="Q33" s="24"/>
      <c r="R33" s="24"/>
      <c r="S33" s="24"/>
      <c r="T33" s="25"/>
    </row>
    <row r="34" spans="2:20">
      <c r="B34" s="23"/>
      <c r="C34" s="24"/>
      <c r="D34" s="24"/>
      <c r="E34" s="24"/>
      <c r="F34" s="24"/>
      <c r="G34" s="24"/>
      <c r="H34" s="24"/>
      <c r="I34" s="24"/>
      <c r="J34" s="24"/>
      <c r="K34" s="24"/>
      <c r="L34" s="24"/>
      <c r="M34" s="24"/>
      <c r="N34" s="24"/>
      <c r="O34" s="24"/>
      <c r="P34" s="24"/>
      <c r="Q34" s="24"/>
      <c r="R34" s="24"/>
      <c r="S34" s="24"/>
      <c r="T34" s="25"/>
    </row>
    <row r="35" spans="2:20">
      <c r="B35" s="23"/>
      <c r="C35" s="26" t="s">
        <v>104</v>
      </c>
      <c r="D35" s="24"/>
      <c r="E35" s="24"/>
      <c r="F35" s="24"/>
      <c r="G35" s="24"/>
      <c r="H35" s="24"/>
      <c r="I35" s="24"/>
      <c r="J35" s="24"/>
      <c r="K35" s="24"/>
      <c r="L35" s="24"/>
      <c r="M35" s="24"/>
      <c r="N35" s="24"/>
      <c r="O35" s="24"/>
      <c r="P35" s="24"/>
      <c r="Q35" s="24"/>
      <c r="R35" s="24"/>
      <c r="S35" s="24"/>
      <c r="T35" s="25"/>
    </row>
    <row r="36" spans="2:20">
      <c r="B36" s="23"/>
      <c r="C36" s="24"/>
      <c r="D36" s="24" t="s">
        <v>105</v>
      </c>
      <c r="E36" s="24"/>
      <c r="F36" s="24"/>
      <c r="G36" s="24"/>
      <c r="H36" s="24"/>
      <c r="I36" s="24"/>
      <c r="J36" s="24"/>
      <c r="K36" s="24"/>
      <c r="L36" s="24"/>
      <c r="M36" s="24"/>
      <c r="N36" s="24"/>
      <c r="O36" s="24"/>
      <c r="P36" s="24"/>
      <c r="Q36" s="24"/>
      <c r="R36" s="24"/>
      <c r="S36" s="24"/>
      <c r="T36" s="25"/>
    </row>
    <row r="37" spans="2:20">
      <c r="B37" s="23"/>
      <c r="C37" s="24"/>
      <c r="D37" s="24" t="s">
        <v>106</v>
      </c>
      <c r="E37" s="24"/>
      <c r="F37" s="24"/>
      <c r="G37" s="24"/>
      <c r="H37" s="24"/>
      <c r="I37" s="24"/>
      <c r="J37" s="24"/>
      <c r="K37" s="24"/>
      <c r="L37" s="24"/>
      <c r="M37" s="24"/>
      <c r="N37" s="24"/>
      <c r="O37" s="24"/>
      <c r="P37" s="24"/>
      <c r="Q37" s="24"/>
      <c r="R37" s="24"/>
      <c r="S37" s="24"/>
      <c r="T37" s="25"/>
    </row>
    <row r="38" spans="2:20">
      <c r="B38" s="23"/>
      <c r="C38" s="24"/>
      <c r="D38" s="24" t="s">
        <v>107</v>
      </c>
      <c r="E38" s="24"/>
      <c r="F38" s="24"/>
      <c r="G38" s="24"/>
      <c r="H38" s="24"/>
      <c r="I38" s="24"/>
      <c r="J38" s="24"/>
      <c r="K38" s="24"/>
      <c r="L38" s="24"/>
      <c r="M38" s="24"/>
      <c r="N38" s="24"/>
      <c r="O38" s="24"/>
      <c r="P38" s="24"/>
      <c r="Q38" s="24"/>
      <c r="R38" s="24"/>
      <c r="S38" s="24"/>
      <c r="T38" s="25"/>
    </row>
    <row r="39" spans="2:20">
      <c r="B39" s="23"/>
      <c r="C39" s="24"/>
      <c r="D39" s="24" t="s">
        <v>108</v>
      </c>
      <c r="E39" s="24"/>
      <c r="F39" s="24"/>
      <c r="G39" s="24"/>
      <c r="H39" s="24"/>
      <c r="I39" s="24"/>
      <c r="J39" s="24"/>
      <c r="K39" s="24"/>
      <c r="L39" s="24"/>
      <c r="M39" s="24"/>
      <c r="N39" s="24"/>
      <c r="O39" s="24"/>
      <c r="P39" s="24"/>
      <c r="Q39" s="24"/>
      <c r="R39" s="24"/>
      <c r="S39" s="24"/>
      <c r="T39" s="25"/>
    </row>
    <row r="40" spans="2:20">
      <c r="B40" s="23"/>
      <c r="C40" s="24"/>
      <c r="D40" s="24"/>
      <c r="E40" s="24"/>
      <c r="F40" s="24"/>
      <c r="G40" s="24"/>
      <c r="H40" s="24"/>
      <c r="I40" s="24"/>
      <c r="J40" s="24"/>
      <c r="K40" s="24"/>
      <c r="L40" s="24"/>
      <c r="M40" s="24"/>
      <c r="N40" s="24"/>
      <c r="O40" s="24"/>
      <c r="P40" s="24"/>
      <c r="Q40" s="24"/>
      <c r="R40" s="24"/>
      <c r="S40" s="24"/>
      <c r="T40" s="25"/>
    </row>
    <row r="41" spans="2:20">
      <c r="B41" s="23"/>
      <c r="C41" s="26" t="s">
        <v>109</v>
      </c>
      <c r="D41" s="24"/>
      <c r="E41" s="24"/>
      <c r="F41" s="24"/>
      <c r="G41" s="24"/>
      <c r="H41" s="24"/>
      <c r="I41" s="24"/>
      <c r="J41" s="24"/>
      <c r="K41" s="24"/>
      <c r="L41" s="24"/>
      <c r="M41" s="24"/>
      <c r="N41" s="24"/>
      <c r="O41" s="24"/>
      <c r="P41" s="24"/>
      <c r="Q41" s="24"/>
      <c r="R41" s="24"/>
      <c r="S41" s="24"/>
      <c r="T41" s="25"/>
    </row>
    <row r="42" spans="2:20">
      <c r="B42" s="23"/>
      <c r="C42" s="24"/>
      <c r="D42" s="24" t="s">
        <v>110</v>
      </c>
      <c r="E42" s="24"/>
      <c r="F42" s="24"/>
      <c r="G42" s="24"/>
      <c r="H42" s="24"/>
      <c r="I42" s="24"/>
      <c r="J42" s="24"/>
      <c r="K42" s="24"/>
      <c r="L42" s="24"/>
      <c r="M42" s="24"/>
      <c r="N42" s="24"/>
      <c r="O42" s="24"/>
      <c r="P42" s="24"/>
      <c r="Q42" s="24"/>
      <c r="R42" s="24"/>
      <c r="S42" s="24"/>
      <c r="T42" s="25"/>
    </row>
    <row r="43" spans="2:20">
      <c r="B43" s="23"/>
      <c r="C43" s="24"/>
      <c r="D43" s="24" t="s">
        <v>111</v>
      </c>
      <c r="E43" s="24"/>
      <c r="F43" s="24"/>
      <c r="G43" s="24"/>
      <c r="H43" s="24"/>
      <c r="I43" s="24"/>
      <c r="J43" s="24"/>
      <c r="K43" s="24"/>
      <c r="L43" s="24"/>
      <c r="M43" s="24"/>
      <c r="N43" s="24"/>
      <c r="O43" s="24"/>
      <c r="P43" s="24"/>
      <c r="Q43" s="24"/>
      <c r="R43" s="24"/>
      <c r="S43" s="24"/>
      <c r="T43" s="25"/>
    </row>
    <row r="44" spans="2:20">
      <c r="B44" s="23"/>
      <c r="C44" s="24"/>
      <c r="D44" s="24" t="s">
        <v>112</v>
      </c>
      <c r="E44" s="24"/>
      <c r="F44" s="24"/>
      <c r="G44" s="24"/>
      <c r="H44" s="24"/>
      <c r="I44" s="24"/>
      <c r="J44" s="24"/>
      <c r="K44" s="24"/>
      <c r="L44" s="24"/>
      <c r="M44" s="24"/>
      <c r="N44" s="24"/>
      <c r="O44" s="24"/>
      <c r="P44" s="24"/>
      <c r="Q44" s="24"/>
      <c r="R44" s="24"/>
      <c r="S44" s="24"/>
      <c r="T44" s="25"/>
    </row>
    <row r="45" spans="2:20">
      <c r="B45" s="23"/>
      <c r="C45" s="24"/>
      <c r="D45" s="24" t="s">
        <v>113</v>
      </c>
      <c r="E45" s="24"/>
      <c r="F45" s="24"/>
      <c r="G45" s="24"/>
      <c r="H45" s="24"/>
      <c r="I45" s="24"/>
      <c r="J45" s="24"/>
      <c r="K45" s="24"/>
      <c r="L45" s="24"/>
      <c r="M45" s="24"/>
      <c r="N45" s="24"/>
      <c r="O45" s="24"/>
      <c r="P45" s="24"/>
      <c r="Q45" s="24"/>
      <c r="R45" s="24"/>
      <c r="S45" s="24"/>
      <c r="T45" s="25"/>
    </row>
    <row r="46" spans="2:20">
      <c r="B46" s="23"/>
      <c r="C46" s="24"/>
      <c r="D46" s="24"/>
      <c r="E46" s="24"/>
      <c r="F46" s="24"/>
      <c r="G46" s="24"/>
      <c r="H46" s="24"/>
      <c r="I46" s="24"/>
      <c r="J46" s="24"/>
      <c r="K46" s="24"/>
      <c r="L46" s="24"/>
      <c r="M46" s="24"/>
      <c r="N46" s="24"/>
      <c r="O46" s="24"/>
      <c r="P46" s="24"/>
      <c r="Q46" s="24"/>
      <c r="R46" s="24"/>
      <c r="S46" s="24"/>
      <c r="T46" s="25"/>
    </row>
    <row r="47" spans="2:20" ht="15.75" thickBot="1">
      <c r="B47" s="27"/>
      <c r="C47" s="28"/>
      <c r="D47" s="28"/>
      <c r="E47" s="28"/>
      <c r="F47" s="28"/>
      <c r="G47" s="28"/>
      <c r="H47" s="28"/>
      <c r="I47" s="28"/>
      <c r="J47" s="28"/>
      <c r="K47" s="28"/>
      <c r="L47" s="28"/>
      <c r="M47" s="28"/>
      <c r="N47" s="28"/>
      <c r="O47" s="28"/>
      <c r="P47" s="28"/>
      <c r="Q47" s="28"/>
      <c r="R47" s="28"/>
      <c r="S47" s="28"/>
      <c r="T47" s="29"/>
    </row>
    <row r="48" spans="2:20" ht="15.75" thickTop="1"/>
  </sheetData>
  <mergeCells count="2">
    <mergeCell ref="B2:T2"/>
    <mergeCell ref="D26:T2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P2541"/>
  <sheetViews>
    <sheetView showGridLines="0" topLeftCell="A115" zoomScaleNormal="100" workbookViewId="0">
      <selection activeCell="J150" sqref="J150"/>
    </sheetView>
  </sheetViews>
  <sheetFormatPr defaultColWidth="9" defaultRowHeight="15"/>
  <cols>
    <col min="1" max="1" width="9.625" style="108" customWidth="1"/>
    <col min="2" max="2" width="16.625" style="108" customWidth="1"/>
    <col min="3" max="3" width="24.25" style="108" customWidth="1"/>
    <col min="4" max="4" width="17.875" style="108" customWidth="1"/>
    <col min="5" max="5" width="16" style="108" customWidth="1"/>
    <col min="6" max="6" width="17.25" style="108" customWidth="1"/>
    <col min="7" max="7" width="12.5" style="108" customWidth="1"/>
    <col min="8" max="8" width="14.5" style="108" customWidth="1"/>
    <col min="9" max="9" width="17.25" style="108" customWidth="1"/>
    <col min="10" max="10" width="15" style="108" customWidth="1"/>
    <col min="11" max="11" width="17.375" style="108" customWidth="1"/>
    <col min="12" max="12" width="19.875" style="108" customWidth="1"/>
    <col min="13" max="13" width="12.875" style="108" customWidth="1"/>
    <col min="14" max="14" width="11.25" style="108" customWidth="1"/>
    <col min="15" max="15" width="13.375" style="108" customWidth="1"/>
    <col min="16" max="18" width="9.625" style="108" customWidth="1"/>
    <col min="19" max="19" width="13.125" style="108" customWidth="1"/>
    <col min="20" max="21" width="9.625" style="108" customWidth="1"/>
    <col min="22" max="22" width="14.25" style="108" customWidth="1"/>
    <col min="23" max="23" width="14.875" style="108" customWidth="1"/>
    <col min="24" max="24" width="13.875" style="108" customWidth="1"/>
    <col min="25" max="31" width="9.625" style="108" customWidth="1"/>
    <col min="32" max="32" width="16.75" style="108" customWidth="1"/>
    <col min="33" max="33" width="9.625" style="108" customWidth="1"/>
    <col min="34" max="37" width="9" style="108"/>
    <col min="38" max="38" width="14.875" style="108" customWidth="1"/>
    <col min="39" max="16384" width="9" style="108"/>
  </cols>
  <sheetData>
    <row r="2" spans="1:42" s="142" customFormat="1" ht="18.75">
      <c r="A2" s="107" t="s">
        <v>1994</v>
      </c>
      <c r="B2" s="107"/>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1:42">
      <c r="C3" s="109"/>
      <c r="K3" s="109"/>
      <c r="R3" s="109"/>
    </row>
    <row r="4" spans="1:42" ht="15.75">
      <c r="B4" s="533"/>
      <c r="C4" s="533"/>
      <c r="D4" s="533"/>
      <c r="E4" s="533"/>
      <c r="F4" s="533"/>
      <c r="G4" s="533"/>
    </row>
    <row r="5" spans="1:42" ht="15.75">
      <c r="B5" s="863" t="s">
        <v>20</v>
      </c>
      <c r="C5" s="864" t="s">
        <v>3144</v>
      </c>
      <c r="G5" s="533"/>
      <c r="AL5"/>
      <c r="AM5"/>
    </row>
    <row r="6" spans="1:42" ht="15.75">
      <c r="B6" s="863" t="s">
        <v>35</v>
      </c>
      <c r="C6" s="864" t="s">
        <v>35</v>
      </c>
      <c r="G6" s="533"/>
      <c r="AL6" s="415"/>
      <c r="AM6" s="415"/>
      <c r="AN6" s="415"/>
    </row>
    <row r="7" spans="1:42" ht="15.75">
      <c r="B7" s="866" t="s">
        <v>22</v>
      </c>
      <c r="C7" s="866" t="s">
        <v>2707</v>
      </c>
      <c r="G7" s="533"/>
      <c r="AL7" s="415"/>
      <c r="AM7" s="415"/>
      <c r="AN7" s="415"/>
    </row>
    <row r="8" spans="1:42" ht="15.75">
      <c r="B8" s="863" t="s">
        <v>128</v>
      </c>
      <c r="C8" s="864" t="s">
        <v>44</v>
      </c>
      <c r="G8" s="533"/>
      <c r="AE8" s="161"/>
      <c r="AL8" s="415"/>
      <c r="AM8" s="415"/>
      <c r="AN8" s="415"/>
    </row>
    <row r="9" spans="1:42" s="113" customFormat="1" ht="15.75">
      <c r="B9" s="533"/>
      <c r="C9" s="108"/>
      <c r="D9" s="161" t="s">
        <v>44</v>
      </c>
      <c r="E9" s="108"/>
      <c r="F9" s="108"/>
      <c r="G9" s="533"/>
      <c r="N9" s="108"/>
      <c r="O9" s="108"/>
      <c r="P9" s="108"/>
      <c r="Q9" s="108"/>
      <c r="R9" s="108"/>
      <c r="S9" s="108"/>
      <c r="T9" s="108"/>
      <c r="U9" s="108"/>
      <c r="V9" s="108"/>
      <c r="W9" s="108"/>
      <c r="X9" s="108"/>
      <c r="Y9" s="108"/>
      <c r="Z9" s="108"/>
      <c r="AA9" s="108"/>
      <c r="AE9"/>
      <c r="AF9"/>
      <c r="AG9"/>
      <c r="AH9" s="498"/>
      <c r="AI9" s="462"/>
      <c r="AJ9" s="462"/>
      <c r="AK9" s="463"/>
      <c r="AL9" s="418"/>
      <c r="AM9" s="418"/>
      <c r="AN9" s="418"/>
      <c r="AO9" s="462"/>
      <c r="AP9" s="462"/>
    </row>
    <row r="10" spans="1:42" s="113" customFormat="1" ht="15.75">
      <c r="B10" s="865" t="s">
        <v>23</v>
      </c>
      <c r="C10" s="873" t="s">
        <v>1893</v>
      </c>
      <c r="D10" s="864" t="s">
        <v>2851</v>
      </c>
      <c r="E10" s="864" t="s">
        <v>2852</v>
      </c>
      <c r="F10" s="864" t="s">
        <v>2853</v>
      </c>
      <c r="G10" s="533"/>
      <c r="N10" s="108"/>
      <c r="O10" s="108"/>
      <c r="P10" s="108"/>
      <c r="Q10" s="108"/>
      <c r="R10" s="108"/>
      <c r="S10" s="108"/>
      <c r="T10" s="108"/>
      <c r="U10" s="108"/>
      <c r="V10" s="108"/>
      <c r="W10" s="108"/>
      <c r="X10" s="108"/>
      <c r="Y10" s="108"/>
      <c r="Z10" s="108"/>
      <c r="AA10" s="108"/>
      <c r="AE10"/>
      <c r="AF10"/>
      <c r="AG10"/>
      <c r="AH10" s="418"/>
      <c r="AI10" s="418"/>
      <c r="AJ10" s="418"/>
      <c r="AK10" s="463"/>
      <c r="AL10" s="418"/>
      <c r="AM10" s="418"/>
      <c r="AN10" s="418"/>
      <c r="AO10" s="418"/>
      <c r="AP10" s="418"/>
    </row>
    <row r="11" spans="1:42" ht="15.75">
      <c r="B11" s="867" t="s">
        <v>361</v>
      </c>
      <c r="C11" s="869">
        <v>979</v>
      </c>
      <c r="D11" s="871">
        <v>0</v>
      </c>
      <c r="E11" s="871">
        <v>0</v>
      </c>
      <c r="F11" s="871">
        <v>0</v>
      </c>
      <c r="G11" s="533"/>
      <c r="AE11"/>
      <c r="AF11"/>
      <c r="AG11"/>
      <c r="AH11"/>
      <c r="AI11"/>
      <c r="AJ11"/>
      <c r="AL11" s="415"/>
      <c r="AM11" s="415"/>
      <c r="AN11" s="415"/>
      <c r="AO11"/>
      <c r="AP11"/>
    </row>
    <row r="12" spans="1:42" ht="15.75">
      <c r="B12" s="867" t="s">
        <v>306</v>
      </c>
      <c r="C12" s="869">
        <v>581</v>
      </c>
      <c r="D12" s="871">
        <v>0</v>
      </c>
      <c r="E12" s="871">
        <v>0</v>
      </c>
      <c r="F12" s="871">
        <v>1</v>
      </c>
      <c r="G12" s="533"/>
      <c r="AE12"/>
      <c r="AF12"/>
      <c r="AG12"/>
      <c r="AH12"/>
      <c r="AI12"/>
      <c r="AJ12"/>
      <c r="AL12" s="415"/>
      <c r="AM12" s="415"/>
      <c r="AN12" s="415"/>
      <c r="AO12"/>
      <c r="AP12"/>
    </row>
    <row r="13" spans="1:42" ht="15.75">
      <c r="B13" s="867" t="s">
        <v>403</v>
      </c>
      <c r="C13" s="869">
        <v>2920</v>
      </c>
      <c r="D13" s="871">
        <v>0</v>
      </c>
      <c r="E13" s="871">
        <v>0</v>
      </c>
      <c r="F13" s="871">
        <v>0</v>
      </c>
      <c r="G13" s="533"/>
      <c r="AB13"/>
      <c r="AE13"/>
      <c r="AF13"/>
      <c r="AG13"/>
      <c r="AH13"/>
      <c r="AI13"/>
      <c r="AJ13"/>
      <c r="AL13" s="415"/>
      <c r="AM13" s="415"/>
      <c r="AN13" s="415"/>
      <c r="AO13"/>
      <c r="AP13"/>
    </row>
    <row r="14" spans="1:42" ht="15.75">
      <c r="B14" s="867" t="s">
        <v>406</v>
      </c>
      <c r="C14" s="869">
        <v>22313</v>
      </c>
      <c r="D14" s="871">
        <v>0.21595064162894584</v>
      </c>
      <c r="E14" s="871">
        <v>0.28467709407072106</v>
      </c>
      <c r="F14" s="871">
        <v>0</v>
      </c>
      <c r="G14" s="533"/>
      <c r="AB14"/>
      <c r="AE14"/>
      <c r="AF14"/>
      <c r="AG14"/>
      <c r="AH14"/>
      <c r="AI14"/>
      <c r="AJ14"/>
      <c r="AL14" s="415"/>
      <c r="AM14" s="415"/>
      <c r="AN14" s="415"/>
      <c r="AO14"/>
      <c r="AP14"/>
    </row>
    <row r="15" spans="1:42" ht="15.75">
      <c r="B15" s="867" t="s">
        <v>299</v>
      </c>
      <c r="C15" s="869">
        <v>92327</v>
      </c>
      <c r="D15" s="871">
        <v>0</v>
      </c>
      <c r="E15" s="871">
        <v>0.23958322050971004</v>
      </c>
      <c r="F15" s="871">
        <v>2.33951065235527E-3</v>
      </c>
      <c r="G15" s="533"/>
      <c r="AB15"/>
      <c r="AE15"/>
      <c r="AF15"/>
      <c r="AG15"/>
      <c r="AH15"/>
      <c r="AI15"/>
      <c r="AJ15"/>
      <c r="AL15" s="415"/>
      <c r="AM15" s="415"/>
      <c r="AN15" s="415"/>
      <c r="AO15"/>
      <c r="AP15"/>
    </row>
    <row r="16" spans="1:42" ht="15.75">
      <c r="B16" s="867" t="s">
        <v>1630</v>
      </c>
      <c r="C16" s="869">
        <v>119120</v>
      </c>
      <c r="D16" s="871">
        <v>4.045086187597946E-2</v>
      </c>
      <c r="E16" s="871">
        <v>0.23901947615849561</v>
      </c>
      <c r="F16" s="871">
        <v>6.6907320349227639E-3</v>
      </c>
      <c r="G16" s="533"/>
      <c r="O16"/>
      <c r="P16"/>
      <c r="Q16"/>
      <c r="R16"/>
      <c r="S16"/>
      <c r="U16" s="415"/>
      <c r="AB16"/>
      <c r="AE16"/>
      <c r="AF16"/>
      <c r="AG16"/>
      <c r="AH16"/>
      <c r="AI16"/>
      <c r="AJ16"/>
      <c r="AL16" s="415"/>
      <c r="AM16" s="415"/>
      <c r="AN16" s="415"/>
      <c r="AO16"/>
      <c r="AP16"/>
    </row>
    <row r="17" spans="1:42" ht="15.75">
      <c r="B17"/>
      <c r="C17"/>
      <c r="D17"/>
      <c r="E17"/>
      <c r="F17"/>
      <c r="G17"/>
      <c r="H17"/>
      <c r="J17"/>
      <c r="K17"/>
      <c r="L17"/>
      <c r="M17"/>
      <c r="N17"/>
      <c r="O17"/>
      <c r="P17"/>
      <c r="Q17"/>
      <c r="R17"/>
      <c r="S17"/>
      <c r="AB17"/>
      <c r="AE17"/>
      <c r="AF17"/>
      <c r="AG17"/>
      <c r="AH17"/>
      <c r="AI17"/>
      <c r="AJ17"/>
      <c r="AL17" s="415"/>
      <c r="AM17" s="415"/>
      <c r="AN17" s="415"/>
      <c r="AO17"/>
      <c r="AP17"/>
    </row>
    <row r="18" spans="1:42" ht="15.75">
      <c r="B18"/>
      <c r="C18"/>
      <c r="D18"/>
      <c r="E18"/>
      <c r="F18"/>
      <c r="G18"/>
      <c r="H18"/>
      <c r="J18"/>
      <c r="K18"/>
      <c r="L18"/>
      <c r="M18"/>
      <c r="N18"/>
      <c r="O18"/>
      <c r="P18"/>
      <c r="Q18"/>
      <c r="R18"/>
      <c r="S18"/>
      <c r="AB18"/>
      <c r="AE18"/>
      <c r="AF18"/>
      <c r="AG18"/>
      <c r="AL18" s="415"/>
      <c r="AM18" s="415"/>
      <c r="AN18" s="415"/>
      <c r="AO18"/>
      <c r="AP18"/>
    </row>
    <row r="19" spans="1:42" ht="15.75">
      <c r="B19"/>
      <c r="C19"/>
      <c r="D19"/>
      <c r="E19"/>
      <c r="F19"/>
      <c r="G19"/>
      <c r="H19"/>
      <c r="J19"/>
      <c r="K19"/>
      <c r="L19"/>
      <c r="M19"/>
      <c r="N19"/>
      <c r="O19"/>
      <c r="P19"/>
      <c r="Q19"/>
      <c r="R19"/>
      <c r="S19"/>
      <c r="AB19"/>
      <c r="AE19"/>
      <c r="AF19"/>
      <c r="AG19"/>
      <c r="AL19"/>
      <c r="AM19"/>
    </row>
    <row r="20" spans="1:42" s="127" customFormat="1" ht="18.75">
      <c r="A20" s="526"/>
      <c r="B20" s="527"/>
      <c r="C20" s="527"/>
      <c r="D20" s="527"/>
      <c r="E20" s="527"/>
      <c r="F20" s="527"/>
      <c r="G20" s="527"/>
      <c r="H20" s="528"/>
      <c r="I20" s="529"/>
      <c r="J20" s="530"/>
      <c r="K20" s="530"/>
      <c r="L20" s="530"/>
      <c r="M20" s="527"/>
      <c r="N20" s="527"/>
      <c r="O20" s="527"/>
      <c r="P20" s="527"/>
      <c r="Q20" s="527"/>
      <c r="R20" s="527"/>
      <c r="S20" s="527"/>
      <c r="T20" s="527"/>
      <c r="U20" s="527"/>
      <c r="V20" s="527"/>
      <c r="W20" s="527"/>
      <c r="X20" s="527"/>
      <c r="Y20" s="527"/>
      <c r="Z20" s="527"/>
      <c r="AC20" s="429"/>
      <c r="AF20" s="429"/>
      <c r="AL20" s="429"/>
      <c r="AM20" s="429"/>
    </row>
    <row r="21" spans="1:42" ht="18.75">
      <c r="A21" s="156" t="s">
        <v>2003</v>
      </c>
      <c r="B21" s="116"/>
      <c r="C21" s="116"/>
      <c r="D21" s="116"/>
      <c r="E21" s="116"/>
      <c r="F21" s="116"/>
      <c r="G21" s="116"/>
      <c r="H21" s="523"/>
      <c r="I21" s="524"/>
      <c r="J21" s="525"/>
      <c r="K21" s="525"/>
      <c r="L21" s="525"/>
      <c r="M21" s="116"/>
      <c r="N21" s="116"/>
      <c r="O21" s="116"/>
      <c r="P21" s="116"/>
      <c r="Q21" s="116"/>
      <c r="R21" s="116"/>
      <c r="S21" s="116"/>
      <c r="T21" s="116"/>
      <c r="U21" s="116"/>
      <c r="V21" s="116"/>
      <c r="W21" s="116"/>
      <c r="X21" s="116"/>
      <c r="Y21" s="116"/>
      <c r="Z21" s="116"/>
      <c r="AC21" s="415"/>
      <c r="AF21" s="415"/>
      <c r="AL21" s="415"/>
      <c r="AM21" s="415"/>
    </row>
    <row r="22" spans="1:42" ht="15.75">
      <c r="AC22"/>
      <c r="AF22"/>
      <c r="AL22"/>
      <c r="AM22"/>
    </row>
    <row r="23" spans="1:42" ht="15.75">
      <c r="AC23"/>
      <c r="AL23"/>
      <c r="AM23"/>
    </row>
    <row r="24" spans="1:42" ht="15.75">
      <c r="B24" s="863" t="s">
        <v>20</v>
      </c>
      <c r="C24" s="864" t="s">
        <v>2388</v>
      </c>
      <c r="I24" s="863" t="s">
        <v>20</v>
      </c>
      <c r="J24" s="864" t="s">
        <v>2388</v>
      </c>
      <c r="AC24"/>
      <c r="AL24"/>
    </row>
    <row r="25" spans="1:42" ht="15.75">
      <c r="B25" s="866" t="s">
        <v>22</v>
      </c>
      <c r="C25" s="864" t="s">
        <v>2707</v>
      </c>
      <c r="I25" s="866" t="s">
        <v>22</v>
      </c>
      <c r="J25" s="864" t="s">
        <v>2707</v>
      </c>
      <c r="AC25"/>
      <c r="AL25"/>
    </row>
    <row r="26" spans="1:42" ht="15.75">
      <c r="B26" s="863" t="s">
        <v>35</v>
      </c>
      <c r="C26" s="864" t="s">
        <v>35</v>
      </c>
      <c r="I26" s="863" t="s">
        <v>35</v>
      </c>
      <c r="J26" s="864" t="s">
        <v>35</v>
      </c>
      <c r="AC26"/>
      <c r="AL26"/>
    </row>
    <row r="27" spans="1:42" ht="15.75">
      <c r="AC27"/>
      <c r="AL27"/>
    </row>
    <row r="28" spans="1:42" ht="15.75">
      <c r="B28" s="863" t="s">
        <v>1628</v>
      </c>
      <c r="C28" s="873" t="s">
        <v>1640</v>
      </c>
      <c r="D28" s="873" t="s">
        <v>1641</v>
      </c>
      <c r="I28" s="864" t="s">
        <v>3155</v>
      </c>
      <c r="J28"/>
      <c r="K28"/>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541"/>
      <c r="AM28" s="462"/>
      <c r="AN28" s="462"/>
      <c r="AO28" s="462"/>
      <c r="AP28" s="462"/>
    </row>
    <row r="29" spans="1:42" ht="15.75">
      <c r="B29" s="867" t="s">
        <v>44</v>
      </c>
      <c r="C29" s="876">
        <v>228.60298666666665</v>
      </c>
      <c r="D29" s="876">
        <v>11.963013333333331</v>
      </c>
      <c r="I29" s="869">
        <v>24.666666666666668</v>
      </c>
      <c r="J29"/>
      <c r="K29"/>
      <c r="AL29"/>
    </row>
    <row r="30" spans="1:42" ht="15.75">
      <c r="B30"/>
      <c r="C30"/>
      <c r="D30"/>
      <c r="E30" s="115"/>
      <c r="AL30"/>
    </row>
    <row r="31" spans="1:42" ht="15.75">
      <c r="B31"/>
      <c r="C31"/>
      <c r="D31"/>
      <c r="E31" s="115"/>
    </row>
    <row r="32" spans="1:42" ht="15.75">
      <c r="B32"/>
      <c r="C32"/>
      <c r="D32"/>
      <c r="E32" s="115"/>
      <c r="I32"/>
      <c r="J32"/>
      <c r="K32"/>
      <c r="P32"/>
      <c r="Q32"/>
      <c r="R32"/>
    </row>
    <row r="33" spans="2:39" ht="15.75">
      <c r="B33"/>
      <c r="C33"/>
      <c r="D33"/>
      <c r="E33" s="115"/>
      <c r="F33" s="115"/>
      <c r="G33" s="115"/>
      <c r="H33" s="115"/>
      <c r="I33"/>
      <c r="J33"/>
      <c r="K33"/>
    </row>
    <row r="34" spans="2:39" ht="15.75">
      <c r="F34" s="115"/>
      <c r="G34" s="115"/>
      <c r="H34" s="115"/>
      <c r="I34"/>
      <c r="J34"/>
      <c r="K34"/>
    </row>
    <row r="38" spans="2:39">
      <c r="B38" s="115"/>
      <c r="C38" s="115"/>
      <c r="D38" s="115"/>
      <c r="F38" s="115"/>
      <c r="G38" s="115"/>
      <c r="H38" s="115"/>
      <c r="J38" s="115"/>
      <c r="K38" s="115"/>
      <c r="L38" s="115"/>
    </row>
    <row r="39" spans="2:39">
      <c r="B39" s="115"/>
      <c r="C39" s="115"/>
      <c r="D39" s="115"/>
      <c r="F39" s="115"/>
      <c r="G39" s="115"/>
      <c r="H39" s="115"/>
      <c r="J39" s="115"/>
      <c r="K39" s="115"/>
      <c r="L39" s="115"/>
    </row>
    <row r="40" spans="2:39">
      <c r="B40" s="863" t="s">
        <v>20</v>
      </c>
      <c r="C40" s="864" t="s">
        <v>2388</v>
      </c>
      <c r="D40" s="115"/>
      <c r="E40" s="192" t="s">
        <v>2237</v>
      </c>
      <c r="F40" s="115"/>
      <c r="G40" s="115"/>
      <c r="P40" s="863" t="s">
        <v>20</v>
      </c>
      <c r="Q40" s="864" t="s">
        <v>2388</v>
      </c>
      <c r="R40" s="115"/>
      <c r="S40" s="192" t="s">
        <v>2237</v>
      </c>
      <c r="T40" s="115"/>
    </row>
    <row r="41" spans="2:39">
      <c r="B41" s="863" t="s">
        <v>35</v>
      </c>
      <c r="C41" s="864" t="s">
        <v>35</v>
      </c>
      <c r="D41" s="115"/>
      <c r="F41" s="115"/>
      <c r="G41" s="115"/>
      <c r="P41" s="863" t="s">
        <v>35</v>
      </c>
      <c r="Q41" s="864" t="s">
        <v>35</v>
      </c>
      <c r="R41" s="115"/>
      <c r="T41" s="115"/>
    </row>
    <row r="42" spans="2:39">
      <c r="B42" s="863" t="s">
        <v>128</v>
      </c>
      <c r="C42" s="864" t="s">
        <v>44</v>
      </c>
      <c r="D42" s="115"/>
      <c r="F42" s="115"/>
      <c r="G42" s="115"/>
      <c r="P42" s="863" t="s">
        <v>128</v>
      </c>
      <c r="Q42" s="864" t="s">
        <v>44</v>
      </c>
      <c r="R42" s="115"/>
      <c r="T42" s="115"/>
    </row>
    <row r="43" spans="2:39" ht="15.75" thickBot="1">
      <c r="B43" s="115"/>
      <c r="C43" s="115"/>
      <c r="D43" s="115"/>
      <c r="F43" s="115"/>
      <c r="G43" s="115"/>
      <c r="P43" s="115"/>
      <c r="Q43" s="115"/>
      <c r="R43" s="115"/>
      <c r="S43" s="950" t="s">
        <v>132</v>
      </c>
      <c r="T43" s="951"/>
    </row>
    <row r="44" spans="2:39" ht="30.75" thickBot="1">
      <c r="B44" s="865" t="s">
        <v>22</v>
      </c>
      <c r="C44" s="873" t="s">
        <v>1889</v>
      </c>
      <c r="D44" s="864" t="s">
        <v>3083</v>
      </c>
      <c r="E44" s="864" t="s">
        <v>3084</v>
      </c>
      <c r="F44" s="864" t="s">
        <v>3085</v>
      </c>
      <c r="G44" s="115"/>
      <c r="H44" s="596" t="s">
        <v>22</v>
      </c>
      <c r="I44" s="519" t="s">
        <v>1889</v>
      </c>
      <c r="J44" s="520" t="s">
        <v>1933</v>
      </c>
      <c r="K44" s="520" t="s">
        <v>1932</v>
      </c>
      <c r="L44" s="520" t="s">
        <v>2894</v>
      </c>
      <c r="M44" s="521" t="s">
        <v>3086</v>
      </c>
      <c r="P44" s="865" t="s">
        <v>22</v>
      </c>
      <c r="Q44" s="873" t="s">
        <v>1889</v>
      </c>
      <c r="R44" s="864" t="s">
        <v>3087</v>
      </c>
      <c r="S44" s="864" t="s">
        <v>3088</v>
      </c>
      <c r="T44" s="864" t="s">
        <v>3089</v>
      </c>
      <c r="U44" s="462"/>
      <c r="V44" s="596" t="s">
        <v>22</v>
      </c>
      <c r="W44" s="519" t="s">
        <v>1889</v>
      </c>
      <c r="X44" s="520" t="s">
        <v>1933</v>
      </c>
      <c r="Y44" s="520" t="s">
        <v>2895</v>
      </c>
      <c r="Z44" s="520" t="s">
        <v>2896</v>
      </c>
      <c r="AA44" s="521" t="s">
        <v>3086</v>
      </c>
      <c r="AB44" s="462"/>
      <c r="AC44" s="462"/>
      <c r="AD44" s="462"/>
      <c r="AE44" s="462"/>
      <c r="AF44" s="462"/>
      <c r="AG44" s="462"/>
      <c r="AH44" s="462"/>
      <c r="AI44" s="462"/>
      <c r="AJ44" s="462"/>
      <c r="AK44" s="462"/>
      <c r="AL44" s="462"/>
      <c r="AM44" s="462"/>
    </row>
    <row r="45" spans="2:39">
      <c r="B45" s="867" t="s">
        <v>2707</v>
      </c>
      <c r="C45" s="868">
        <v>25</v>
      </c>
      <c r="D45" s="868">
        <v>16</v>
      </c>
      <c r="E45" s="868">
        <v>1083</v>
      </c>
      <c r="F45" s="868">
        <v>693</v>
      </c>
      <c r="G45" s="115"/>
      <c r="H45" s="137" t="s">
        <v>2707</v>
      </c>
      <c r="I45" s="522">
        <f>GETPIVOTDATA("Count of Site Name",$B$44,"State","Central Rakhine")</f>
        <v>25</v>
      </c>
      <c r="J45" s="522">
        <f>GETPIVOTDATA("Count of #_Water samples_Tested_at_water_source",$B$44,"State","Central Rakhine")</f>
        <v>16</v>
      </c>
      <c r="K45" s="597">
        <f>I45-J45</f>
        <v>9</v>
      </c>
      <c r="L45" s="522">
        <f>GETPIVOTDATA("Sum of #_Water samples_Tested_at_water_source2",$B$44,"State","Central Rakhine")</f>
        <v>1083</v>
      </c>
      <c r="M45" s="522">
        <f>GETPIVOTDATA("Sum of #_Water samples _passed_at_water source",$B$44,"State","Central Rakhine")</f>
        <v>693</v>
      </c>
      <c r="P45" s="867" t="s">
        <v>2707</v>
      </c>
      <c r="Q45" s="868">
        <v>25</v>
      </c>
      <c r="R45" s="868">
        <v>13</v>
      </c>
      <c r="S45" s="868">
        <v>811</v>
      </c>
      <c r="T45" s="868">
        <v>11</v>
      </c>
      <c r="V45" s="137" t="s">
        <v>2707</v>
      </c>
      <c r="W45" s="522">
        <f>GETPIVOTDATA("Count of Site Name",$P$44,"State","Central Rakhine")</f>
        <v>25</v>
      </c>
      <c r="X45" s="522">
        <f>GETPIVOTDATA("Count of #_Water samples_Tested_at_HH",$P$44,"State","Central Rakhine")</f>
        <v>13</v>
      </c>
      <c r="Y45" s="522">
        <f>W45-X45</f>
        <v>12</v>
      </c>
      <c r="Z45" s="522">
        <f>GETPIVOTDATA("Sum of #_Water samples_Tested_at_HH2",$P$44,"State","Central Rakhine")</f>
        <v>811</v>
      </c>
      <c r="AA45" s="522">
        <f>GETPIVOTDATA("Count of #_Water samples _passed_at_HH",$P$44,"State","Central Rakhine")</f>
        <v>11</v>
      </c>
    </row>
    <row r="46" spans="2:39">
      <c r="B46" s="867" t="s">
        <v>1630</v>
      </c>
      <c r="C46" s="868">
        <v>25</v>
      </c>
      <c r="D46" s="868">
        <v>16</v>
      </c>
      <c r="E46" s="868">
        <v>1083</v>
      </c>
      <c r="F46" s="868">
        <v>693</v>
      </c>
      <c r="G46" s="115"/>
      <c r="P46" s="867" t="s">
        <v>1630</v>
      </c>
      <c r="Q46" s="868">
        <v>25</v>
      </c>
      <c r="R46" s="868">
        <v>13</v>
      </c>
      <c r="S46" s="868">
        <v>811</v>
      </c>
      <c r="T46" s="868">
        <v>11</v>
      </c>
    </row>
    <row r="47" spans="2:39" ht="15.75">
      <c r="B47"/>
      <c r="C47"/>
      <c r="D47"/>
      <c r="E47"/>
      <c r="F47"/>
      <c r="G47" s="115"/>
      <c r="P47"/>
      <c r="Q47"/>
      <c r="R47"/>
      <c r="S47"/>
      <c r="T47"/>
    </row>
    <row r="48" spans="2:39" ht="15.75">
      <c r="B48"/>
      <c r="C48"/>
      <c r="D48"/>
      <c r="E48"/>
      <c r="F48"/>
      <c r="P48"/>
      <c r="Q48"/>
      <c r="R48"/>
      <c r="S48"/>
      <c r="T48"/>
    </row>
    <row r="49" spans="2:7">
      <c r="B49" s="115"/>
      <c r="C49" s="115"/>
      <c r="D49" s="115"/>
    </row>
    <row r="50" spans="2:7">
      <c r="B50" s="863" t="s">
        <v>20</v>
      </c>
      <c r="C50" s="864" t="s">
        <v>2388</v>
      </c>
      <c r="D50" s="115"/>
    </row>
    <row r="51" spans="2:7">
      <c r="B51" s="863" t="s">
        <v>35</v>
      </c>
      <c r="C51" s="864" t="s">
        <v>35</v>
      </c>
      <c r="D51" s="115"/>
      <c r="E51" s="192" t="s">
        <v>2237</v>
      </c>
    </row>
    <row r="52" spans="2:7">
      <c r="B52" s="863" t="s">
        <v>128</v>
      </c>
      <c r="C52" s="864" t="s">
        <v>44</v>
      </c>
      <c r="D52" s="115"/>
    </row>
    <row r="53" spans="2:7">
      <c r="B53" s="115"/>
      <c r="C53" s="115"/>
      <c r="D53" s="115"/>
    </row>
    <row r="54" spans="2:7">
      <c r="B54" s="863" t="s">
        <v>2716</v>
      </c>
      <c r="C54" s="863" t="s">
        <v>1945</v>
      </c>
      <c r="D54" s="864"/>
    </row>
    <row r="55" spans="2:7">
      <c r="B55" s="865" t="s">
        <v>22</v>
      </c>
      <c r="C55" s="864" t="s">
        <v>1932</v>
      </c>
      <c r="D55" s="864" t="s">
        <v>1933</v>
      </c>
    </row>
    <row r="56" spans="2:7">
      <c r="B56" s="867" t="s">
        <v>2707</v>
      </c>
      <c r="C56" s="868">
        <v>9</v>
      </c>
      <c r="D56" s="868">
        <v>16</v>
      </c>
    </row>
    <row r="57" spans="2:7" ht="15.75">
      <c r="B57"/>
      <c r="C57"/>
      <c r="D57"/>
    </row>
    <row r="58" spans="2:7" ht="15.75">
      <c r="B58"/>
      <c r="C58"/>
      <c r="D58"/>
    </row>
    <row r="59" spans="2:7" ht="15.75" thickBot="1">
      <c r="B59" s="115"/>
      <c r="C59" s="115"/>
      <c r="D59" s="115"/>
    </row>
    <row r="60" spans="2:7">
      <c r="B60" s="118"/>
      <c r="C60" s="121" t="s">
        <v>1932</v>
      </c>
      <c r="D60" s="122" t="s">
        <v>1933</v>
      </c>
      <c r="E60" s="115"/>
      <c r="F60" s="115"/>
      <c r="G60" s="115"/>
    </row>
    <row r="61" spans="2:7">
      <c r="B61" s="119"/>
      <c r="C61" s="123"/>
      <c r="D61" s="124"/>
      <c r="E61" s="115"/>
      <c r="F61" s="115"/>
      <c r="G61" s="115"/>
    </row>
    <row r="62" spans="2:7">
      <c r="B62" s="119" t="s">
        <v>298</v>
      </c>
      <c r="C62" s="123">
        <f>GETPIVOTDATA("Warter quality test done",$B$54,"State","Central Rakhine","Warter quality test done","No Test")</f>
        <v>9</v>
      </c>
      <c r="D62" s="124">
        <f>GETPIVOTDATA("Warter quality test done",$B$54,"State","Central Rakhine","Warter quality test done","Tested")</f>
        <v>16</v>
      </c>
      <c r="E62" s="115"/>
      <c r="F62" s="115"/>
      <c r="G62" s="115"/>
    </row>
    <row r="63" spans="2:7" ht="15.75" thickBot="1">
      <c r="B63" s="120"/>
      <c r="C63" s="125"/>
      <c r="D63" s="126"/>
      <c r="E63" s="111"/>
      <c r="F63" s="111"/>
      <c r="G63" s="112"/>
    </row>
    <row r="64" spans="2:7" s="127" customFormat="1">
      <c r="B64" s="128"/>
      <c r="C64" s="129"/>
      <c r="D64" s="129"/>
      <c r="E64" s="130"/>
      <c r="F64" s="130"/>
      <c r="G64" s="131"/>
    </row>
    <row r="65" spans="2:24" s="127" customFormat="1">
      <c r="B65" s="128"/>
      <c r="C65" s="129"/>
      <c r="D65" s="129"/>
      <c r="E65" s="130"/>
      <c r="F65" s="130"/>
      <c r="G65" s="131"/>
    </row>
    <row r="66" spans="2:24" s="127" customFormat="1">
      <c r="B66" s="128"/>
      <c r="C66" s="129"/>
      <c r="D66" s="129"/>
      <c r="E66" s="130"/>
      <c r="F66" s="130"/>
      <c r="G66" s="131"/>
    </row>
    <row r="67" spans="2:24" s="127" customFormat="1" ht="15.75">
      <c r="B67"/>
      <c r="C67"/>
      <c r="D67"/>
      <c r="E67"/>
      <c r="F67" s="130"/>
      <c r="G67" s="131"/>
    </row>
    <row r="68" spans="2:24" s="127" customFormat="1" ht="15.75">
      <c r="B68"/>
      <c r="C68"/>
      <c r="D68"/>
      <c r="E68"/>
      <c r="F68" s="130"/>
      <c r="G68" s="131"/>
      <c r="M68"/>
      <c r="N68"/>
      <c r="O68"/>
    </row>
    <row r="69" spans="2:24" s="127" customFormat="1" ht="15.75">
      <c r="B69"/>
      <c r="C69"/>
      <c r="D69"/>
      <c r="E69"/>
      <c r="F69" s="130"/>
      <c r="G69" s="131"/>
      <c r="M69"/>
      <c r="N69"/>
      <c r="O69"/>
    </row>
    <row r="70" spans="2:24" s="127" customFormat="1" ht="15.75">
      <c r="B70"/>
      <c r="C70"/>
      <c r="D70"/>
      <c r="E70" s="130"/>
      <c r="F70" s="130"/>
      <c r="G70" s="131"/>
      <c r="M70"/>
      <c r="N70"/>
      <c r="O70"/>
    </row>
    <row r="71" spans="2:24" s="127" customFormat="1" ht="15.75">
      <c r="B71"/>
      <c r="C71"/>
      <c r="D71"/>
      <c r="E71" s="130"/>
      <c r="F71" s="130"/>
      <c r="G71" s="131"/>
    </row>
    <row r="72" spans="2:24" s="127" customFormat="1" ht="15.75">
      <c r="B72"/>
      <c r="C72"/>
      <c r="D72"/>
      <c r="E72" s="130"/>
      <c r="F72" s="130"/>
      <c r="G72" s="131"/>
    </row>
    <row r="73" spans="2:24" s="127" customFormat="1">
      <c r="B73" s="863" t="s">
        <v>20</v>
      </c>
      <c r="C73" s="864" t="s">
        <v>2388</v>
      </c>
      <c r="D73" s="129"/>
      <c r="E73" s="130"/>
      <c r="F73" s="130"/>
      <c r="G73" s="131"/>
    </row>
    <row r="74" spans="2:24" s="127" customFormat="1">
      <c r="B74" s="863" t="s">
        <v>35</v>
      </c>
      <c r="C74" s="864" t="s">
        <v>35</v>
      </c>
      <c r="D74" s="115"/>
      <c r="E74" s="130"/>
      <c r="F74" s="130"/>
      <c r="G74" s="131"/>
    </row>
    <row r="75" spans="2:24" s="127" customFormat="1">
      <c r="B75" s="879" t="s">
        <v>22</v>
      </c>
      <c r="C75" s="864" t="s">
        <v>2707</v>
      </c>
      <c r="D75" s="115"/>
      <c r="E75" s="130"/>
      <c r="F75" s="130"/>
      <c r="G75" s="131"/>
    </row>
    <row r="76" spans="2:24" s="127" customFormat="1">
      <c r="B76" s="863" t="s">
        <v>128</v>
      </c>
      <c r="C76" s="864" t="s">
        <v>44</v>
      </c>
      <c r="D76" s="115"/>
      <c r="E76" s="130"/>
      <c r="F76" s="130"/>
      <c r="G76" s="131"/>
    </row>
    <row r="77" spans="2:24" s="127" customFormat="1">
      <c r="B77" s="456" t="s">
        <v>298</v>
      </c>
      <c r="C77" s="115"/>
      <c r="D77" s="115"/>
      <c r="E77" s="130"/>
      <c r="F77" s="130"/>
      <c r="G77" s="131"/>
    </row>
    <row r="78" spans="2:24" s="127" customFormat="1" ht="15.75">
      <c r="B78" s="877" t="s">
        <v>22</v>
      </c>
      <c r="C78" s="864" t="s">
        <v>2855</v>
      </c>
      <c r="D78" s="864" t="s">
        <v>2851</v>
      </c>
      <c r="E78" s="130"/>
      <c r="F78" s="130"/>
      <c r="G78" s="131"/>
      <c r="V78"/>
      <c r="W78"/>
      <c r="X78"/>
    </row>
    <row r="79" spans="2:24" s="127" customFormat="1" ht="15.75">
      <c r="B79" s="867" t="s">
        <v>361</v>
      </c>
      <c r="C79" s="871">
        <v>1</v>
      </c>
      <c r="D79" s="871">
        <v>0</v>
      </c>
      <c r="E79" s="130"/>
      <c r="F79" s="130"/>
      <c r="G79" s="131"/>
      <c r="V79"/>
      <c r="W79"/>
      <c r="X79"/>
    </row>
    <row r="80" spans="2:24" s="127" customFormat="1" ht="15.75">
      <c r="B80" s="867" t="s">
        <v>306</v>
      </c>
      <c r="C80" s="871">
        <v>1</v>
      </c>
      <c r="D80" s="871">
        <v>0</v>
      </c>
      <c r="E80" s="130"/>
      <c r="F80" s="130"/>
      <c r="G80" s="131"/>
      <c r="K80"/>
      <c r="L80"/>
      <c r="M80"/>
      <c r="V80"/>
      <c r="W80"/>
      <c r="X80"/>
    </row>
    <row r="81" spans="1:30" s="127" customFormat="1" ht="15.75">
      <c r="B81" s="867" t="s">
        <v>403</v>
      </c>
      <c r="C81" s="871">
        <v>1</v>
      </c>
      <c r="D81" s="871">
        <v>0</v>
      </c>
      <c r="E81" s="130"/>
      <c r="F81" s="130"/>
      <c r="G81" s="131"/>
      <c r="K81"/>
      <c r="L81"/>
      <c r="M81"/>
      <c r="V81"/>
      <c r="W81"/>
      <c r="X81"/>
    </row>
    <row r="82" spans="1:30" s="127" customFormat="1" ht="15.75">
      <c r="B82" s="867" t="s">
        <v>406</v>
      </c>
      <c r="C82" s="871">
        <v>0.78404935837105416</v>
      </c>
      <c r="D82" s="871">
        <v>0.21595064162894584</v>
      </c>
      <c r="E82" s="130"/>
      <c r="F82" s="130"/>
      <c r="G82" s="131"/>
      <c r="K82"/>
      <c r="L82"/>
      <c r="M82"/>
      <c r="V82"/>
      <c r="W82"/>
      <c r="X82"/>
    </row>
    <row r="83" spans="1:30" s="127" customFormat="1" ht="15.75">
      <c r="B83" s="867" t="s">
        <v>299</v>
      </c>
      <c r="C83" s="871">
        <v>1</v>
      </c>
      <c r="D83" s="871">
        <v>0</v>
      </c>
      <c r="E83" s="130"/>
      <c r="F83" s="130"/>
      <c r="G83" s="131"/>
      <c r="K83"/>
      <c r="L83"/>
      <c r="M83"/>
      <c r="V83"/>
      <c r="W83"/>
      <c r="X83"/>
    </row>
    <row r="84" spans="1:30" s="127" customFormat="1" ht="15.75">
      <c r="B84"/>
      <c r="C84"/>
      <c r="D84" s="129"/>
      <c r="E84" s="130"/>
      <c r="F84" s="130"/>
      <c r="G84" s="131"/>
      <c r="K84"/>
      <c r="L84"/>
      <c r="M84"/>
      <c r="T84"/>
      <c r="U84"/>
      <c r="V84"/>
      <c r="W84"/>
      <c r="X84"/>
      <c r="Y84"/>
    </row>
    <row r="85" spans="1:30" s="127" customFormat="1" ht="15.75">
      <c r="B85"/>
      <c r="C85"/>
      <c r="D85" s="129"/>
      <c r="E85" s="130"/>
      <c r="F85" s="130"/>
      <c r="G85" s="131"/>
      <c r="K85"/>
      <c r="L85"/>
      <c r="M85"/>
      <c r="T85"/>
      <c r="U85"/>
      <c r="V85"/>
    </row>
    <row r="86" spans="1:30" s="127" customFormat="1" ht="15.75">
      <c r="B86"/>
      <c r="C86"/>
      <c r="D86" s="129"/>
      <c r="E86" s="130"/>
      <c r="F86" s="130"/>
      <c r="G86" s="131"/>
      <c r="K86"/>
      <c r="L86"/>
      <c r="M86"/>
      <c r="T86"/>
      <c r="U86"/>
      <c r="V86"/>
    </row>
    <row r="87" spans="1:30" s="127" customFormat="1" ht="15.75">
      <c r="B87"/>
      <c r="C87"/>
      <c r="D87" s="129"/>
      <c r="E87" s="130"/>
      <c r="F87" s="130"/>
      <c r="G87" s="131"/>
      <c r="K87"/>
      <c r="L87"/>
      <c r="M87"/>
      <c r="T87"/>
      <c r="U87"/>
      <c r="V87"/>
    </row>
    <row r="88" spans="1:30" s="127" customFormat="1" ht="15.75">
      <c r="B88" s="128"/>
      <c r="C88" s="129"/>
      <c r="D88" s="129"/>
      <c r="E88" s="130"/>
      <c r="F88" s="130"/>
      <c r="G88" s="131"/>
      <c r="K88"/>
      <c r="L88"/>
      <c r="M88"/>
      <c r="T88"/>
      <c r="U88"/>
    </row>
    <row r="89" spans="1:30" s="127" customFormat="1" ht="15.75">
      <c r="B89" s="128"/>
      <c r="C89" s="129"/>
      <c r="D89" s="129"/>
      <c r="E89" s="130"/>
      <c r="F89" s="130"/>
      <c r="G89" s="131"/>
      <c r="T89"/>
      <c r="U89"/>
    </row>
    <row r="90" spans="1:30" s="141" customFormat="1" ht="18.75">
      <c r="A90" s="106" t="s">
        <v>2004</v>
      </c>
      <c r="B90" s="106"/>
      <c r="C90" s="138"/>
      <c r="D90" s="139"/>
      <c r="E90" s="139"/>
      <c r="F90" s="139"/>
      <c r="G90" s="140"/>
      <c r="H90" s="106"/>
      <c r="I90" s="106"/>
      <c r="J90" s="106"/>
      <c r="K90" s="106"/>
      <c r="L90" s="106"/>
      <c r="M90" s="106"/>
      <c r="N90" s="106"/>
      <c r="O90" s="106"/>
      <c r="P90" s="106"/>
      <c r="Q90" s="106"/>
      <c r="R90" s="106"/>
      <c r="S90" s="106"/>
      <c r="T90" s="106"/>
      <c r="U90" s="106"/>
      <c r="V90" s="106"/>
      <c r="W90" s="106"/>
      <c r="X90" s="106"/>
      <c r="Y90" s="106"/>
      <c r="Z90" s="106"/>
    </row>
    <row r="91" spans="1:30">
      <c r="C91" s="110"/>
      <c r="D91" s="111"/>
      <c r="E91" s="111"/>
      <c r="F91" s="111"/>
      <c r="G91" s="112"/>
    </row>
    <row r="92" spans="1:30" ht="15.75">
      <c r="F92" s="111"/>
      <c r="G92" s="112"/>
      <c r="K92"/>
      <c r="L92"/>
    </row>
    <row r="93" spans="1:30" ht="15.75" thickBot="1">
      <c r="C93" s="863" t="s">
        <v>20</v>
      </c>
      <c r="D93" s="864" t="s">
        <v>2388</v>
      </c>
      <c r="E93" s="111"/>
      <c r="S93" s="863" t="s">
        <v>20</v>
      </c>
      <c r="T93" s="864" t="s">
        <v>1629</v>
      </c>
    </row>
    <row r="94" spans="1:30" ht="30">
      <c r="C94" s="872" t="s">
        <v>22</v>
      </c>
      <c r="D94" s="864" t="s">
        <v>2707</v>
      </c>
      <c r="F94" s="143" t="s">
        <v>298</v>
      </c>
      <c r="G94" s="144" t="s">
        <v>1930</v>
      </c>
      <c r="I94" s="115" t="s">
        <v>1943</v>
      </c>
      <c r="J94" s="114">
        <f>G95</f>
        <v>4507</v>
      </c>
      <c r="S94" s="872" t="s">
        <v>22</v>
      </c>
      <c r="T94" s="872" t="s">
        <v>1629</v>
      </c>
    </row>
    <row r="95" spans="1:30">
      <c r="C95" s="863" t="s">
        <v>35</v>
      </c>
      <c r="D95" s="864" t="s">
        <v>35</v>
      </c>
      <c r="F95" s="145" t="s">
        <v>1640</v>
      </c>
      <c r="G95" s="146">
        <f>GETPIVOTDATA("Sum of #_Functional_adult_latrines",$C$97,"Location Type","# in active camps (20:1)")</f>
        <v>4507</v>
      </c>
      <c r="I95" s="115" t="s">
        <v>2718</v>
      </c>
      <c r="J95" s="114">
        <f>G97</f>
        <v>815</v>
      </c>
      <c r="S95" s="863" t="s">
        <v>35</v>
      </c>
      <c r="T95" s="864" t="s">
        <v>35</v>
      </c>
    </row>
    <row r="96" spans="1:30" s="113" customFormat="1">
      <c r="C96" s="108"/>
      <c r="D96" s="108"/>
      <c r="E96" s="108"/>
      <c r="F96" s="145" t="s">
        <v>1940</v>
      </c>
      <c r="G96" s="146">
        <f>G98-G95</f>
        <v>1449</v>
      </c>
      <c r="H96" s="108"/>
      <c r="I96" s="115" t="s">
        <v>1944</v>
      </c>
      <c r="J96" s="114" t="e">
        <f>#REF!</f>
        <v>#REF!</v>
      </c>
      <c r="M96" s="108"/>
      <c r="S96" s="108"/>
      <c r="T96" s="108"/>
      <c r="U96" s="108"/>
      <c r="V96" s="108"/>
      <c r="W96" s="108"/>
      <c r="Y96" s="108"/>
      <c r="AC96" s="108"/>
      <c r="AD96" s="108"/>
    </row>
    <row r="97" spans="1:21" ht="30">
      <c r="C97" s="864"/>
      <c r="D97" s="863" t="s">
        <v>1887</v>
      </c>
      <c r="E97"/>
      <c r="F97" s="145" t="s">
        <v>2721</v>
      </c>
      <c r="G97" s="146">
        <f>GETPIVOTDATA("Sum of #_latrines_repaired",$C$97,"Location Type","# in active camps (20:1)")</f>
        <v>815</v>
      </c>
      <c r="M97"/>
      <c r="Q97" s="115"/>
      <c r="S97" s="864"/>
      <c r="T97" s="863" t="s">
        <v>1887</v>
      </c>
      <c r="U97"/>
    </row>
    <row r="98" spans="1:21" ht="16.5" thickBot="1">
      <c r="C98" s="863" t="s">
        <v>1888</v>
      </c>
      <c r="D98" s="864" t="s">
        <v>1930</v>
      </c>
      <c r="E98"/>
      <c r="F98" s="147" t="s">
        <v>1929</v>
      </c>
      <c r="G98" s="467">
        <f>GETPIVOTDATA("# latrines (target)",$C$97,"Location Type","# in active camps (20:1)")</f>
        <v>5956</v>
      </c>
      <c r="M98"/>
      <c r="Q98" s="115"/>
      <c r="S98" s="864"/>
      <c r="T98" s="864"/>
      <c r="U98"/>
    </row>
    <row r="99" spans="1:21" ht="15.75">
      <c r="C99" s="867" t="s">
        <v>1929</v>
      </c>
      <c r="D99" s="869">
        <v>5956</v>
      </c>
      <c r="E99"/>
      <c r="F99"/>
      <c r="G99"/>
      <c r="M99"/>
      <c r="Q99" s="115"/>
      <c r="S99" s="864" t="s">
        <v>1929</v>
      </c>
      <c r="T99" s="864"/>
      <c r="U99"/>
    </row>
    <row r="100" spans="1:21" ht="15.75">
      <c r="C100" s="867" t="s">
        <v>3090</v>
      </c>
      <c r="D100" s="869">
        <v>815</v>
      </c>
      <c r="E100"/>
      <c r="F100"/>
      <c r="G100"/>
      <c r="M100"/>
      <c r="Q100" s="115"/>
      <c r="S100"/>
      <c r="T100"/>
      <c r="U100"/>
    </row>
    <row r="101" spans="1:21" ht="15.75">
      <c r="C101" s="867" t="s">
        <v>3091</v>
      </c>
      <c r="D101" s="869">
        <v>5690</v>
      </c>
      <c r="E101"/>
      <c r="F101"/>
      <c r="G101"/>
      <c r="K101"/>
      <c r="L101"/>
      <c r="M101"/>
      <c r="Q101" s="115"/>
      <c r="S101"/>
      <c r="T101"/>
      <c r="U101"/>
    </row>
    <row r="102" spans="1:21" ht="15.75">
      <c r="C102" s="867" t="s">
        <v>3092</v>
      </c>
      <c r="D102" s="869">
        <v>4507</v>
      </c>
      <c r="E102"/>
      <c r="F102"/>
      <c r="G102"/>
      <c r="K102"/>
      <c r="L102"/>
      <c r="M102"/>
      <c r="Q102" s="115"/>
      <c r="S102"/>
      <c r="T102"/>
      <c r="U102"/>
    </row>
    <row r="103" spans="1:21" ht="15.75">
      <c r="B103" s="115"/>
      <c r="C103" s="867" t="s">
        <v>3093</v>
      </c>
      <c r="D103" s="869">
        <v>396</v>
      </c>
      <c r="E103"/>
      <c r="F103"/>
      <c r="G103"/>
      <c r="K103"/>
      <c r="L103"/>
      <c r="M103"/>
      <c r="Q103" s="115"/>
      <c r="S103"/>
      <c r="T103"/>
      <c r="U103"/>
    </row>
    <row r="104" spans="1:21" ht="15.75">
      <c r="B104" s="115"/>
      <c r="C104" s="867" t="s">
        <v>3094</v>
      </c>
      <c r="D104" s="869">
        <v>116</v>
      </c>
      <c r="E104"/>
      <c r="F104"/>
      <c r="G104"/>
      <c r="K104"/>
      <c r="L104"/>
      <c r="M104"/>
      <c r="Q104" s="115"/>
      <c r="S104"/>
      <c r="T104"/>
      <c r="U104"/>
    </row>
    <row r="105" spans="1:21" ht="15.75">
      <c r="C105"/>
      <c r="D105"/>
      <c r="F105"/>
      <c r="G105"/>
      <c r="J105" s="110"/>
      <c r="K105"/>
      <c r="L105"/>
      <c r="M105"/>
      <c r="Q105" s="115"/>
      <c r="R105" s="115"/>
      <c r="S105"/>
      <c r="T105"/>
      <c r="U105"/>
    </row>
    <row r="106" spans="1:21" ht="15.75">
      <c r="C106"/>
      <c r="D106"/>
      <c r="E106" s="111"/>
      <c r="F106" s="115"/>
      <c r="G106" s="115"/>
    </row>
    <row r="107" spans="1:21">
      <c r="C107" s="863" t="s">
        <v>20</v>
      </c>
      <c r="D107" s="864" t="s">
        <v>2388</v>
      </c>
      <c r="F107" s="115"/>
      <c r="G107" s="115"/>
    </row>
    <row r="108" spans="1:21">
      <c r="A108" s="465" t="s">
        <v>2720</v>
      </c>
      <c r="C108" s="872" t="s">
        <v>22</v>
      </c>
      <c r="D108" s="864" t="s">
        <v>2707</v>
      </c>
    </row>
    <row r="109" spans="1:21">
      <c r="A109" s="465" t="s">
        <v>2719</v>
      </c>
      <c r="B109" s="113"/>
      <c r="C109" s="863" t="s">
        <v>35</v>
      </c>
      <c r="D109" s="864" t="s">
        <v>35</v>
      </c>
    </row>
    <row r="111" spans="1:21" ht="15.75">
      <c r="C111" s="863" t="s">
        <v>1888</v>
      </c>
      <c r="D111" s="864"/>
      <c r="E111"/>
      <c r="F111" s="763" t="s">
        <v>3119</v>
      </c>
      <c r="G111" s="764" t="s">
        <v>3117</v>
      </c>
      <c r="H111" s="765" t="s">
        <v>3118</v>
      </c>
    </row>
    <row r="112" spans="1:21" ht="15.75">
      <c r="C112" s="867" t="s">
        <v>3113</v>
      </c>
      <c r="D112" s="871">
        <v>0.8600000000000001</v>
      </c>
      <c r="E112"/>
      <c r="F112" s="766" t="s">
        <v>3120</v>
      </c>
      <c r="G112" s="767">
        <f>GETPIVOTDATA("Average of %_of_Men_that_feel_safe_to_use_latrines_when_they_need_to_(or_at_day/night)'?",$C$111)</f>
        <v>0.8600000000000001</v>
      </c>
      <c r="H112" s="767">
        <f>1-G112</f>
        <v>0.1399999999999999</v>
      </c>
    </row>
    <row r="113" spans="2:21">
      <c r="C113" s="867" t="s">
        <v>3114</v>
      </c>
      <c r="D113" s="871">
        <v>0.67294117647058838</v>
      </c>
      <c r="F113" s="766" t="s">
        <v>3121</v>
      </c>
      <c r="G113" s="767">
        <f>GETPIVOTDATA("Average of %_of_Women_that_feel_safe_to_use_latrines_when_they_need_to_(or_at_day/night)?",$C$111)</f>
        <v>0.67294117647058838</v>
      </c>
      <c r="H113" s="767">
        <f t="shared" ref="H113:H115" si="0">1-G113</f>
        <v>0.32705882352941162</v>
      </c>
      <c r="I113" s="462"/>
      <c r="J113" s="462"/>
      <c r="K113" s="462"/>
      <c r="L113" s="462"/>
      <c r="M113" s="462"/>
      <c r="N113" s="462"/>
      <c r="O113" s="462"/>
      <c r="P113" s="462"/>
      <c r="Q113" s="462"/>
      <c r="R113" s="462"/>
    </row>
    <row r="114" spans="2:21">
      <c r="C114" s="867" t="s">
        <v>3115</v>
      </c>
      <c r="D114" s="871">
        <v>0.62941176470588234</v>
      </c>
      <c r="F114" s="766" t="s">
        <v>3122</v>
      </c>
      <c r="G114" s="767">
        <f>GETPIVOTDATA("Average of %_of_Boys_that_feel_safe_to_use_latrines_when_they_need_to_(or_at_day/night)?",$C$111)</f>
        <v>0.62941176470588234</v>
      </c>
      <c r="H114" s="767">
        <f t="shared" si="0"/>
        <v>0.37058823529411766</v>
      </c>
      <c r="Q114" s="115"/>
      <c r="R114" s="115"/>
    </row>
    <row r="115" spans="2:21" ht="15.75">
      <c r="C115" s="867" t="s">
        <v>3116</v>
      </c>
      <c r="D115" s="871">
        <v>0.62470588235294111</v>
      </c>
      <c r="E115" s="533"/>
      <c r="F115" s="766" t="s">
        <v>3123</v>
      </c>
      <c r="G115" s="767">
        <f>GETPIVOTDATA("Average of %_of_Girlss_that_feel_safe_to_use_latrines_when_they_need_to_(or_at_day/night)?",$C$111)</f>
        <v>0.62470588235294111</v>
      </c>
      <c r="H115" s="767">
        <f t="shared" si="0"/>
        <v>0.37529411764705889</v>
      </c>
      <c r="K115" s="148"/>
      <c r="L115" s="149"/>
      <c r="M115" s="149"/>
      <c r="Q115" s="115"/>
      <c r="R115" s="115"/>
    </row>
    <row r="116" spans="2:21" ht="15.75">
      <c r="B116" s="115"/>
      <c r="C116"/>
      <c r="D116"/>
      <c r="E116" s="149"/>
      <c r="K116" s="148"/>
      <c r="L116" s="149"/>
      <c r="M116" s="149"/>
      <c r="Q116" s="115"/>
      <c r="R116" s="115"/>
    </row>
    <row r="117" spans="2:21" ht="15.75">
      <c r="B117" s="115"/>
      <c r="C117"/>
      <c r="D117"/>
      <c r="E117" s="149"/>
      <c r="K117" s="148"/>
      <c r="L117" s="149"/>
      <c r="M117" s="149"/>
      <c r="Q117" s="115"/>
      <c r="R117" s="115"/>
      <c r="S117" s="148"/>
      <c r="T117" s="149"/>
      <c r="U117" s="149"/>
    </row>
    <row r="118" spans="2:21" ht="15.75">
      <c r="B118" s="115"/>
      <c r="C118"/>
      <c r="D118"/>
      <c r="E118" s="112"/>
      <c r="J118" s="115"/>
      <c r="K118" s="115"/>
      <c r="L118" s="115"/>
      <c r="Q118" s="115"/>
      <c r="R118" s="115"/>
      <c r="S118" s="115"/>
    </row>
    <row r="119" spans="2:21">
      <c r="B119" s="115"/>
      <c r="C119" s="110"/>
      <c r="D119" s="112"/>
      <c r="E119" s="112"/>
      <c r="J119" s="115"/>
      <c r="K119" s="115"/>
      <c r="L119" s="115"/>
      <c r="Q119" s="115"/>
      <c r="R119" s="115"/>
      <c r="S119" s="115"/>
    </row>
    <row r="120" spans="2:21">
      <c r="B120" s="115"/>
      <c r="C120" s="110"/>
      <c r="D120" s="112"/>
      <c r="E120" s="112"/>
      <c r="F120" s="115"/>
      <c r="G120" s="115"/>
      <c r="J120" s="115"/>
      <c r="K120" s="115"/>
      <c r="L120" s="115"/>
      <c r="Q120" s="115"/>
      <c r="R120" s="115"/>
      <c r="S120" s="115"/>
    </row>
    <row r="121" spans="2:21">
      <c r="B121" s="115"/>
      <c r="C121" s="110"/>
      <c r="D121" s="112"/>
      <c r="E121" s="112"/>
      <c r="F121" s="115"/>
      <c r="G121" s="115"/>
      <c r="J121" s="115"/>
      <c r="K121" s="115"/>
      <c r="L121" s="115"/>
      <c r="Q121" s="115"/>
      <c r="R121" s="115"/>
      <c r="S121" s="115"/>
    </row>
    <row r="122" spans="2:21">
      <c r="B122" s="115"/>
      <c r="C122" s="110"/>
      <c r="D122" s="112"/>
      <c r="E122" s="112"/>
      <c r="F122" s="115"/>
      <c r="G122" s="115"/>
      <c r="J122" s="115"/>
      <c r="K122" s="115"/>
      <c r="L122" s="115"/>
      <c r="Q122" s="115"/>
      <c r="R122" s="115"/>
      <c r="S122" s="115"/>
    </row>
    <row r="123" spans="2:21">
      <c r="B123" s="115"/>
      <c r="C123" s="110"/>
      <c r="D123" s="112"/>
      <c r="E123" s="112"/>
      <c r="F123" s="115"/>
      <c r="G123" s="115"/>
      <c r="J123" s="115"/>
      <c r="K123" s="115"/>
      <c r="L123" s="115"/>
      <c r="Q123" s="115"/>
      <c r="R123" s="115"/>
      <c r="S123" s="115"/>
    </row>
    <row r="124" spans="2:21" ht="15.75">
      <c r="B124"/>
      <c r="C124"/>
      <c r="E124" s="112"/>
      <c r="F124" s="115"/>
      <c r="G124" s="115"/>
      <c r="J124" s="115"/>
      <c r="K124" s="863" t="s">
        <v>20</v>
      </c>
      <c r="L124" s="864" t="s">
        <v>2388</v>
      </c>
      <c r="Q124" s="115"/>
      <c r="R124" s="115"/>
      <c r="S124" s="115"/>
    </row>
    <row r="125" spans="2:21">
      <c r="B125" s="863" t="s">
        <v>20</v>
      </c>
      <c r="C125" s="864" t="s">
        <v>2388</v>
      </c>
      <c r="E125" s="112"/>
      <c r="F125" s="115"/>
      <c r="G125" s="115"/>
      <c r="J125" s="115"/>
      <c r="K125" s="863" t="s">
        <v>35</v>
      </c>
      <c r="L125" s="864" t="s">
        <v>35</v>
      </c>
      <c r="Q125" s="115"/>
      <c r="R125" s="115"/>
      <c r="S125" s="115"/>
    </row>
    <row r="126" spans="2:21">
      <c r="B126" s="863" t="s">
        <v>35</v>
      </c>
      <c r="C126" s="864" t="s">
        <v>35</v>
      </c>
      <c r="E126" s="112"/>
      <c r="F126" s="115"/>
      <c r="G126" s="115"/>
      <c r="J126" s="115"/>
      <c r="Q126" s="115"/>
      <c r="R126" s="115"/>
      <c r="S126" s="115"/>
    </row>
    <row r="127" spans="2:21">
      <c r="E127" s="112"/>
      <c r="F127" s="115"/>
      <c r="G127" s="115"/>
      <c r="J127" s="115"/>
      <c r="K127" s="864" t="s">
        <v>3130</v>
      </c>
      <c r="L127" s="864" t="s">
        <v>3093</v>
      </c>
      <c r="M127" s="462"/>
      <c r="N127" s="462"/>
      <c r="O127" s="462"/>
      <c r="P127" s="462"/>
      <c r="Q127" s="771"/>
      <c r="R127" s="771"/>
      <c r="S127" s="771"/>
      <c r="T127" s="462"/>
      <c r="U127" s="462"/>
    </row>
    <row r="128" spans="2:21" ht="15.75">
      <c r="B128" s="864" t="s">
        <v>3125</v>
      </c>
      <c r="C128" s="864" t="s">
        <v>3126</v>
      </c>
      <c r="D128"/>
      <c r="K128" s="868">
        <v>14580</v>
      </c>
      <c r="L128" s="868">
        <v>396</v>
      </c>
    </row>
    <row r="129" spans="2:19" ht="15.75">
      <c r="B129" s="868">
        <v>23154</v>
      </c>
      <c r="C129" s="868">
        <v>179</v>
      </c>
      <c r="D129"/>
      <c r="E129" s="462"/>
      <c r="F129" s="462"/>
      <c r="G129" s="462"/>
      <c r="H129" s="462"/>
      <c r="I129" s="462"/>
      <c r="J129" s="462"/>
      <c r="K129" s="462"/>
      <c r="L129" s="462"/>
      <c r="M129" s="462"/>
      <c r="N129" s="462"/>
      <c r="O129" s="462"/>
      <c r="P129" s="462"/>
      <c r="Q129" s="462"/>
      <c r="R129" s="462"/>
      <c r="S129" s="462"/>
    </row>
    <row r="130" spans="2:19" ht="15.75">
      <c r="B130"/>
      <c r="C130"/>
      <c r="D130"/>
      <c r="E130"/>
      <c r="F130"/>
      <c r="G130"/>
      <c r="K130" s="762" t="s">
        <v>3131</v>
      </c>
      <c r="L130" s="772" t="s">
        <v>3133</v>
      </c>
      <c r="M130" s="772" t="s">
        <v>3132</v>
      </c>
    </row>
    <row r="131" spans="2:19" ht="15.75">
      <c r="B131"/>
      <c r="C131"/>
      <c r="D131"/>
      <c r="E131"/>
      <c r="F131"/>
      <c r="G131"/>
      <c r="K131" s="768">
        <f>GETPIVOTDATA("Sum of # of Total_People with disabilities",$K$127)</f>
        <v>14580</v>
      </c>
      <c r="L131" s="770">
        <f>GETPIVOTDATA("Sum of #_of_PWD_with_adapted_sanitation_option",$K$127)</f>
        <v>396</v>
      </c>
      <c r="M131" s="770">
        <f>K131-L131</f>
        <v>14184</v>
      </c>
    </row>
    <row r="132" spans="2:19" ht="15.75">
      <c r="B132" s="762" t="s">
        <v>2709</v>
      </c>
      <c r="C132" s="762" t="s">
        <v>3127</v>
      </c>
      <c r="D132" s="762" t="s">
        <v>3129</v>
      </c>
      <c r="E132" s="762" t="s">
        <v>3128</v>
      </c>
      <c r="F132"/>
      <c r="G132"/>
    </row>
    <row r="133" spans="2:19" ht="15.75">
      <c r="B133" s="768">
        <f>GETPIVOTDATA("Sum of #_students at TLS_CFS",$B$128)</f>
        <v>23154</v>
      </c>
      <c r="C133" s="882">
        <f>B133/50</f>
        <v>463.08</v>
      </c>
      <c r="D133" s="882">
        <f>GETPIVOTDATA("Sum of #_of_latrines_in_TLS/CFS",$B$128)</f>
        <v>179</v>
      </c>
      <c r="E133" s="882">
        <f>C133-D133</f>
        <v>284.08</v>
      </c>
      <c r="F133"/>
      <c r="G133"/>
    </row>
    <row r="134" spans="2:19" ht="15.75">
      <c r="B134"/>
      <c r="C134"/>
      <c r="D134"/>
      <c r="E134"/>
      <c r="F134"/>
      <c r="G134"/>
    </row>
    <row r="135" spans="2:19">
      <c r="B135" s="115"/>
      <c r="C135" s="115"/>
      <c r="D135" s="115"/>
      <c r="E135" s="115"/>
      <c r="F135" s="115"/>
      <c r="G135" s="115"/>
      <c r="Q135" s="115"/>
      <c r="R135" s="115"/>
      <c r="S135" s="115"/>
    </row>
    <row r="136" spans="2:19">
      <c r="B136" s="148"/>
      <c r="C136" s="149"/>
      <c r="D136" s="149"/>
      <c r="E136" s="149"/>
      <c r="F136" s="149"/>
    </row>
    <row r="137" spans="2:19">
      <c r="B137" s="148"/>
      <c r="C137" s="149"/>
      <c r="D137" s="149"/>
      <c r="E137" s="149"/>
      <c r="F137" s="149"/>
    </row>
    <row r="138" spans="2:19">
      <c r="B138" s="863" t="s">
        <v>20</v>
      </c>
      <c r="C138" s="864" t="s">
        <v>2388</v>
      </c>
    </row>
    <row r="139" spans="2:19">
      <c r="B139" s="863" t="s">
        <v>35</v>
      </c>
      <c r="C139" s="864" t="s">
        <v>35</v>
      </c>
    </row>
    <row r="140" spans="2:19">
      <c r="B140" s="863" t="s">
        <v>128</v>
      </c>
      <c r="C140" s="864" t="s">
        <v>44</v>
      </c>
    </row>
    <row r="142" spans="2:19" ht="15.75">
      <c r="B142" s="863" t="s">
        <v>3124</v>
      </c>
      <c r="C142" s="863" t="s">
        <v>1887</v>
      </c>
      <c r="D142" s="864"/>
      <c r="E142"/>
      <c r="F142"/>
      <c r="G142"/>
      <c r="H142" s="115"/>
      <c r="I142" s="115"/>
      <c r="J142" s="115"/>
      <c r="K142" s="115"/>
    </row>
    <row r="143" spans="2:19" ht="15.75">
      <c r="B143" s="863" t="s">
        <v>22</v>
      </c>
      <c r="C143" s="864" t="s">
        <v>42</v>
      </c>
      <c r="D143" s="864" t="s">
        <v>130</v>
      </c>
      <c r="E143"/>
      <c r="F143"/>
      <c r="G143"/>
      <c r="H143" s="115"/>
      <c r="I143" s="115"/>
      <c r="J143" s="115"/>
      <c r="K143" s="115"/>
    </row>
    <row r="144" spans="2:19" ht="15.75">
      <c r="B144" s="867" t="s">
        <v>2707</v>
      </c>
      <c r="C144" s="868">
        <v>21</v>
      </c>
      <c r="D144" s="868">
        <v>4</v>
      </c>
      <c r="E144"/>
      <c r="F144"/>
      <c r="G144"/>
      <c r="H144" s="115"/>
      <c r="I144" s="115"/>
      <c r="J144" s="115"/>
      <c r="K144" s="115"/>
    </row>
    <row r="145" spans="2:14" ht="15.75">
      <c r="B145"/>
      <c r="C145"/>
      <c r="D145"/>
      <c r="E145"/>
      <c r="F145"/>
      <c r="G145"/>
      <c r="H145" s="115"/>
      <c r="I145" s="115"/>
      <c r="J145" s="115"/>
      <c r="K145" s="115"/>
    </row>
    <row r="146" spans="2:14" ht="15.75">
      <c r="B146"/>
      <c r="C146"/>
      <c r="D146"/>
      <c r="E146"/>
      <c r="F146"/>
      <c r="G146"/>
      <c r="H146" s="115"/>
      <c r="I146" s="115"/>
      <c r="J146" s="115"/>
      <c r="K146" s="115"/>
    </row>
    <row r="147" spans="2:14">
      <c r="B147" s="115"/>
      <c r="C147" s="115"/>
      <c r="D147" s="115"/>
      <c r="E147" s="115"/>
      <c r="F147" s="115"/>
      <c r="G147" s="115"/>
      <c r="H147" s="115"/>
      <c r="I147" s="115"/>
    </row>
    <row r="148" spans="2:14">
      <c r="B148" s="153" t="s">
        <v>1628</v>
      </c>
      <c r="C148" s="469" t="s">
        <v>42</v>
      </c>
      <c r="D148" s="769" t="s">
        <v>130</v>
      </c>
    </row>
    <row r="149" spans="2:14">
      <c r="B149" s="150" t="s">
        <v>298</v>
      </c>
      <c r="C149" s="151">
        <f>GETPIVOTDATA("Is_there_an_effective_solid_waste_management_system_in_place?",$B$142,"State","Central Rakhine","Is_there_an_effective_solid_waste_management_system_in_place?","Yes")</f>
        <v>21</v>
      </c>
      <c r="D149" s="152">
        <f>GETPIVOTDATA("Is_there_an_effective_solid_waste_management_system_in_place?",$B$142,"State","Central Rakhine","Is_there_an_effective_solid_waste_management_system_in_place?","No")</f>
        <v>4</v>
      </c>
    </row>
    <row r="152" spans="2:14" ht="15.75">
      <c r="B152" s="533"/>
      <c r="C152" s="533"/>
      <c r="D152" s="533"/>
      <c r="E152" s="533"/>
    </row>
    <row r="153" spans="2:14" ht="15.75">
      <c r="B153" s="533"/>
      <c r="C153" s="533"/>
      <c r="D153" s="533"/>
      <c r="E153" s="533"/>
    </row>
    <row r="154" spans="2:14" ht="15.75">
      <c r="B154" s="863" t="s">
        <v>20</v>
      </c>
      <c r="C154" s="864" t="s">
        <v>2388</v>
      </c>
      <c r="D154" s="115"/>
      <c r="E154" s="533"/>
      <c r="L154"/>
      <c r="M154"/>
      <c r="N154" s="129"/>
    </row>
    <row r="155" spans="2:14" ht="15.75">
      <c r="B155" s="863" t="s">
        <v>35</v>
      </c>
      <c r="C155" s="864" t="s">
        <v>35</v>
      </c>
      <c r="D155" s="115"/>
      <c r="E155" s="533"/>
    </row>
    <row r="156" spans="2:14" ht="15.75">
      <c r="B156" s="878" t="s">
        <v>22</v>
      </c>
      <c r="C156" s="864" t="s">
        <v>2707</v>
      </c>
      <c r="D156" s="115"/>
      <c r="E156" s="533"/>
    </row>
    <row r="157" spans="2:14" ht="15.75">
      <c r="B157" s="464"/>
      <c r="C157" s="115"/>
      <c r="D157" s="115"/>
      <c r="E157" s="533"/>
    </row>
    <row r="158" spans="2:14" ht="15.75">
      <c r="B158" s="877" t="s">
        <v>22</v>
      </c>
      <c r="C158" s="864" t="s">
        <v>2856</v>
      </c>
      <c r="D158" s="864" t="s">
        <v>2857</v>
      </c>
      <c r="E158" s="533"/>
    </row>
    <row r="159" spans="2:14" ht="15.75">
      <c r="B159" s="867" t="s">
        <v>361</v>
      </c>
      <c r="C159" s="871">
        <v>1</v>
      </c>
      <c r="D159" s="871">
        <v>0</v>
      </c>
      <c r="E159" s="533"/>
    </row>
    <row r="160" spans="2:14" ht="15.75">
      <c r="B160" s="867" t="s">
        <v>306</v>
      </c>
      <c r="C160" s="871">
        <v>1</v>
      </c>
      <c r="D160" s="871">
        <v>0</v>
      </c>
      <c r="E160" s="533"/>
    </row>
    <row r="161" spans="2:14" ht="15.75">
      <c r="B161" s="867" t="s">
        <v>403</v>
      </c>
      <c r="C161" s="871">
        <v>1</v>
      </c>
      <c r="D161" s="871">
        <v>0</v>
      </c>
      <c r="E161" s="533"/>
    </row>
    <row r="162" spans="2:14" ht="15.75">
      <c r="B162" s="867" t="s">
        <v>406</v>
      </c>
      <c r="C162" s="871">
        <v>0.71532290592927894</v>
      </c>
      <c r="D162" s="871">
        <v>0.28467709407072106</v>
      </c>
      <c r="E162" s="533"/>
    </row>
    <row r="163" spans="2:14" ht="15.75">
      <c r="B163" s="867" t="s">
        <v>299</v>
      </c>
      <c r="C163" s="871">
        <v>0.76041677949028996</v>
      </c>
      <c r="D163" s="871">
        <v>0.23958322050971004</v>
      </c>
      <c r="E163" s="533"/>
    </row>
    <row r="164" spans="2:14" ht="15.75">
      <c r="B164" s="533"/>
      <c r="C164" s="533"/>
      <c r="D164" s="533"/>
      <c r="E164" s="533"/>
    </row>
    <row r="165" spans="2:14" ht="15.75">
      <c r="B165" s="533"/>
      <c r="C165" s="533"/>
      <c r="D165" s="533"/>
      <c r="E165" s="533"/>
      <c r="L165"/>
      <c r="M165"/>
      <c r="N165"/>
    </row>
    <row r="166" spans="2:14" ht="15.75">
      <c r="B166"/>
      <c r="C166"/>
      <c r="D166"/>
      <c r="L166"/>
      <c r="M166"/>
      <c r="N166"/>
    </row>
    <row r="167" spans="2:14" ht="15.75">
      <c r="B167"/>
      <c r="C167"/>
      <c r="D167"/>
      <c r="L167"/>
      <c r="M167"/>
      <c r="N167"/>
    </row>
    <row r="168" spans="2:14" ht="15.75">
      <c r="B168"/>
      <c r="C168"/>
      <c r="D168"/>
      <c r="L168"/>
      <c r="M168"/>
      <c r="N168"/>
    </row>
    <row r="169" spans="2:14" ht="15.75">
      <c r="B169"/>
      <c r="C169"/>
      <c r="D169"/>
      <c r="L169"/>
      <c r="M169"/>
      <c r="N169"/>
    </row>
    <row r="170" spans="2:14" ht="15.75">
      <c r="B170" s="880" t="s">
        <v>20</v>
      </c>
      <c r="C170" s="871" t="s">
        <v>2388</v>
      </c>
      <c r="D170"/>
      <c r="L170"/>
      <c r="M170"/>
      <c r="N170"/>
    </row>
    <row r="171" spans="2:14" ht="15.75">
      <c r="B171" s="880" t="s">
        <v>35</v>
      </c>
      <c r="C171" s="871" t="s">
        <v>35</v>
      </c>
      <c r="D171"/>
      <c r="L171"/>
      <c r="M171"/>
      <c r="N171"/>
    </row>
    <row r="172" spans="2:14" ht="15.75">
      <c r="B172" s="111"/>
      <c r="C172" s="111"/>
      <c r="D172"/>
      <c r="L172"/>
      <c r="M172"/>
      <c r="N172"/>
    </row>
    <row r="173" spans="2:14" ht="15.75">
      <c r="B173" s="871" t="s">
        <v>3173</v>
      </c>
      <c r="C173" s="871" t="s">
        <v>3174</v>
      </c>
      <c r="D173" s="871" t="s">
        <v>3094</v>
      </c>
      <c r="E173" s="462"/>
      <c r="F173" s="462"/>
      <c r="G173" s="462"/>
      <c r="H173" s="462"/>
      <c r="I173" s="462"/>
      <c r="J173" s="462"/>
      <c r="K173" s="462"/>
      <c r="L173" s="541"/>
      <c r="M173" s="541"/>
      <c r="N173" s="541"/>
    </row>
    <row r="174" spans="2:14" ht="15.75">
      <c r="B174" s="871">
        <v>0.40785714285714286</v>
      </c>
      <c r="C174" s="869">
        <v>4252.6000000000004</v>
      </c>
      <c r="D174" s="869">
        <v>116</v>
      </c>
      <c r="L174"/>
      <c r="M174"/>
      <c r="N174"/>
    </row>
    <row r="175" spans="2:14" ht="15.75">
      <c r="L175"/>
      <c r="M175"/>
      <c r="N175"/>
    </row>
    <row r="176" spans="2:14" ht="15.75">
      <c r="M176"/>
      <c r="N176"/>
    </row>
    <row r="177" spans="2:21" ht="15.75">
      <c r="M177"/>
      <c r="N177"/>
    </row>
    <row r="178" spans="2:21" ht="15.75">
      <c r="M178"/>
      <c r="N178"/>
    </row>
    <row r="179" spans="2:21" ht="15.75">
      <c r="M179"/>
      <c r="N179"/>
    </row>
    <row r="180" spans="2:21" ht="15.75">
      <c r="M180"/>
      <c r="N180"/>
    </row>
    <row r="181" spans="2:21" ht="15.75">
      <c r="M181"/>
      <c r="N181"/>
    </row>
    <row r="182" spans="2:21" ht="15.75">
      <c r="M182"/>
      <c r="N182"/>
    </row>
    <row r="183" spans="2:21" ht="15.75">
      <c r="M183"/>
      <c r="N183"/>
    </row>
    <row r="184" spans="2:21" ht="15.75">
      <c r="J184"/>
      <c r="K184"/>
      <c r="L184"/>
      <c r="M184"/>
      <c r="N184"/>
    </row>
    <row r="185" spans="2:21" ht="15.75">
      <c r="B185"/>
      <c r="C185"/>
      <c r="D185"/>
      <c r="J185"/>
      <c r="K185"/>
      <c r="L185"/>
      <c r="M185"/>
      <c r="N185"/>
    </row>
    <row r="186" spans="2:21" ht="15.75">
      <c r="B186"/>
      <c r="C186"/>
      <c r="D186"/>
      <c r="J186"/>
      <c r="K186"/>
      <c r="L186"/>
      <c r="M186"/>
      <c r="N186"/>
    </row>
    <row r="187" spans="2:21" ht="15.75">
      <c r="B187"/>
      <c r="C187"/>
      <c r="D187"/>
      <c r="J187"/>
      <c r="K187"/>
      <c r="L187"/>
      <c r="M187"/>
      <c r="N187"/>
    </row>
    <row r="188" spans="2:21" ht="15.75">
      <c r="B188"/>
      <c r="C188"/>
      <c r="D188"/>
      <c r="J188"/>
      <c r="K188"/>
      <c r="L188"/>
      <c r="M188"/>
      <c r="N188"/>
      <c r="S188"/>
      <c r="T188"/>
      <c r="U188"/>
    </row>
    <row r="189" spans="2:21" ht="15.75">
      <c r="B189"/>
      <c r="C189"/>
      <c r="D189"/>
      <c r="J189"/>
      <c r="K189"/>
      <c r="L189"/>
      <c r="M189"/>
      <c r="N189"/>
      <c r="S189"/>
      <c r="T189"/>
      <c r="U189"/>
    </row>
    <row r="190" spans="2:21" ht="15.75">
      <c r="B190"/>
      <c r="C190"/>
      <c r="D190"/>
      <c r="J190"/>
      <c r="K190"/>
      <c r="L190"/>
      <c r="M190"/>
      <c r="N190"/>
      <c r="S190"/>
      <c r="T190"/>
      <c r="U190"/>
    </row>
    <row r="191" spans="2:21" ht="15.75">
      <c r="J191"/>
      <c r="K191"/>
      <c r="L191"/>
      <c r="S191"/>
      <c r="T191"/>
    </row>
    <row r="192" spans="2:21" ht="15.75">
      <c r="B192" s="115"/>
      <c r="C192" s="115"/>
      <c r="D192" s="115"/>
      <c r="S192"/>
      <c r="T192"/>
    </row>
    <row r="193" spans="1:26" ht="18.75">
      <c r="A193" s="157" t="s">
        <v>2005</v>
      </c>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row>
    <row r="194" spans="1:26" ht="15.75">
      <c r="S194"/>
      <c r="T194"/>
    </row>
    <row r="196" spans="1:26">
      <c r="B196" s="863" t="s">
        <v>20</v>
      </c>
      <c r="C196" s="864" t="s">
        <v>2388</v>
      </c>
      <c r="D196" s="115"/>
      <c r="I196" s="133" t="s">
        <v>298</v>
      </c>
    </row>
    <row r="197" spans="1:26">
      <c r="B197" s="863" t="s">
        <v>35</v>
      </c>
      <c r="C197" s="864" t="s">
        <v>35</v>
      </c>
      <c r="H197" s="132" t="s">
        <v>25</v>
      </c>
      <c r="J197" s="108">
        <f>GETPIVOTDATA("Sum of Total HH",$B$200,"State","Central Rakhine")</f>
        <v>23698</v>
      </c>
      <c r="M197" s="112"/>
    </row>
    <row r="198" spans="1:26">
      <c r="B198" s="863" t="s">
        <v>128</v>
      </c>
      <c r="C198" s="864" t="s">
        <v>44</v>
      </c>
      <c r="D198" s="115"/>
    </row>
    <row r="199" spans="1:26">
      <c r="I199" s="133" t="s">
        <v>35</v>
      </c>
      <c r="J199" s="133" t="s">
        <v>1641</v>
      </c>
    </row>
    <row r="200" spans="1:26" ht="15.75">
      <c r="B200" s="863" t="s">
        <v>1628</v>
      </c>
      <c r="C200" s="864" t="s">
        <v>1891</v>
      </c>
      <c r="D200" s="864" t="s">
        <v>1922</v>
      </c>
      <c r="E200" s="864" t="s">
        <v>3134</v>
      </c>
      <c r="F200" s="864" t="s">
        <v>3135</v>
      </c>
      <c r="G200"/>
      <c r="H200" s="132" t="s">
        <v>1892</v>
      </c>
      <c r="I200" s="134">
        <f>GETPIVOTDATA("Sum of # people reached by regular dedicated hygiene promotion_5",$B$200,"State","Central Rakhine")/5</f>
        <v>11760.6</v>
      </c>
      <c r="J200" s="134">
        <f>$J$197-I200</f>
        <v>11937.4</v>
      </c>
    </row>
    <row r="201" spans="1:26" ht="15.75">
      <c r="B201" s="867" t="s">
        <v>2707</v>
      </c>
      <c r="C201" s="875">
        <v>23698</v>
      </c>
      <c r="D201" s="868">
        <v>58803</v>
      </c>
      <c r="E201" s="868">
        <v>26657</v>
      </c>
      <c r="F201" s="868">
        <v>27322</v>
      </c>
      <c r="G201"/>
      <c r="H201" s="132" t="s">
        <v>1619</v>
      </c>
      <c r="I201" s="134">
        <f>GETPIVOTDATA("Sum of #_of_affected_households_receiving_a_sufficient_quantity_of_soap",$B$200,"State","Central Rakhine")</f>
        <v>26657</v>
      </c>
      <c r="J201" s="134">
        <f>$J$197-I201</f>
        <v>-2959</v>
      </c>
    </row>
    <row r="202" spans="1:26" ht="15.75">
      <c r="B202" s="867" t="s">
        <v>1630</v>
      </c>
      <c r="C202" s="875">
        <v>23698</v>
      </c>
      <c r="D202" s="868">
        <v>58803</v>
      </c>
      <c r="E202" s="868">
        <v>26657</v>
      </c>
      <c r="F202" s="868">
        <v>27322</v>
      </c>
      <c r="G202"/>
      <c r="H202" s="132" t="s">
        <v>1618</v>
      </c>
      <c r="I202" s="134">
        <f>GETPIVOTDATA("Sum of #_of_affected_women_and_girls_receiving_a_sufficient_quantity_of_sanitary_pads",$B$200,"State","Central Rakhine")</f>
        <v>27322</v>
      </c>
      <c r="J202" s="134">
        <f>$J$197-I202</f>
        <v>-3624</v>
      </c>
    </row>
    <row r="203" spans="1:26" ht="15.75">
      <c r="B203"/>
      <c r="C203"/>
      <c r="D203"/>
      <c r="E203"/>
      <c r="F203"/>
      <c r="G203"/>
    </row>
    <row r="204" spans="1:26" ht="15.75">
      <c r="B204"/>
      <c r="C204"/>
      <c r="D204"/>
      <c r="E204"/>
      <c r="F204"/>
      <c r="G204"/>
    </row>
    <row r="205" spans="1:26" ht="15.75">
      <c r="B205"/>
      <c r="C205"/>
      <c r="D205"/>
      <c r="E205"/>
      <c r="F205"/>
      <c r="G205"/>
      <c r="Q205" s="117"/>
      <c r="R205" s="117"/>
    </row>
    <row r="206" spans="1:26">
      <c r="B206" s="115"/>
      <c r="C206" s="115"/>
      <c r="D206" s="115"/>
    </row>
    <row r="207" spans="1:26">
      <c r="B207" s="115"/>
      <c r="C207" s="115"/>
      <c r="D207" s="115"/>
    </row>
    <row r="208" spans="1:26">
      <c r="B208" s="115"/>
      <c r="C208" s="115"/>
      <c r="D208" s="115"/>
    </row>
    <row r="209" spans="2:23" ht="15.75">
      <c r="B209" s="533"/>
      <c r="C209" s="533"/>
      <c r="D209" s="533"/>
      <c r="E209" s="533"/>
      <c r="H209" s="129"/>
      <c r="I209" s="129"/>
      <c r="J209" s="129"/>
      <c r="K209" s="129"/>
      <c r="L209" s="129"/>
    </row>
    <row r="210" spans="2:23" ht="15.75">
      <c r="B210" s="415"/>
      <c r="C210" s="415"/>
      <c r="D210" s="415"/>
      <c r="E210" s="415"/>
      <c r="F210" s="415"/>
      <c r="G210" s="415"/>
      <c r="K210" s="533"/>
      <c r="L210" s="533"/>
      <c r="M210" s="533"/>
    </row>
    <row r="211" spans="2:23" ht="15.75">
      <c r="B211"/>
      <c r="C211"/>
      <c r="D211" s="129"/>
      <c r="K211" s="533"/>
      <c r="L211" s="533"/>
      <c r="M211" s="533"/>
    </row>
    <row r="212" spans="2:23" ht="15.75">
      <c r="B212" s="863" t="s">
        <v>20</v>
      </c>
      <c r="C212" s="864" t="s">
        <v>2388</v>
      </c>
      <c r="D212" s="115"/>
      <c r="K212" s="533"/>
      <c r="L212" s="533"/>
      <c r="M212" s="533"/>
    </row>
    <row r="213" spans="2:23" ht="15.75">
      <c r="B213" s="863" t="s">
        <v>35</v>
      </c>
      <c r="C213" s="864" t="s">
        <v>35</v>
      </c>
      <c r="D213" s="115"/>
      <c r="K213" s="533"/>
      <c r="L213" s="533"/>
      <c r="M213" s="533"/>
    </row>
    <row r="214" spans="2:23" ht="15.75">
      <c r="B214" s="878" t="s">
        <v>22</v>
      </c>
      <c r="C214" s="864" t="s">
        <v>2707</v>
      </c>
      <c r="D214" s="115"/>
      <c r="K214" s="533"/>
      <c r="L214" s="533"/>
      <c r="M214" s="533"/>
    </row>
    <row r="215" spans="2:23" ht="15.75">
      <c r="B215" s="464"/>
      <c r="C215" s="115"/>
      <c r="D215" s="115"/>
      <c r="K215" s="533"/>
      <c r="L215" s="533"/>
      <c r="M215" s="533"/>
    </row>
    <row r="216" spans="2:23" ht="15.75">
      <c r="B216" s="877" t="s">
        <v>22</v>
      </c>
      <c r="C216" s="864" t="s">
        <v>2858</v>
      </c>
      <c r="D216" s="864" t="s">
        <v>2854</v>
      </c>
      <c r="K216" s="533"/>
      <c r="L216" s="533"/>
      <c r="M216" s="533"/>
    </row>
    <row r="217" spans="2:23" ht="15.75">
      <c r="B217" s="867" t="s">
        <v>361</v>
      </c>
      <c r="C217" s="871">
        <v>1</v>
      </c>
      <c r="D217" s="871">
        <v>0</v>
      </c>
      <c r="K217" s="533"/>
      <c r="L217" s="533"/>
      <c r="M217" s="533"/>
    </row>
    <row r="218" spans="2:23" ht="15.75">
      <c r="B218" s="867" t="s">
        <v>306</v>
      </c>
      <c r="C218" s="871">
        <v>0</v>
      </c>
      <c r="D218" s="871">
        <v>1</v>
      </c>
      <c r="K218" s="533"/>
      <c r="L218" s="533"/>
      <c r="M218" s="533"/>
    </row>
    <row r="219" spans="2:23" ht="15.75">
      <c r="B219" s="867" t="s">
        <v>403</v>
      </c>
      <c r="C219" s="871">
        <v>1</v>
      </c>
      <c r="D219" s="871">
        <v>0</v>
      </c>
      <c r="K219" s="533"/>
      <c r="L219" s="533"/>
      <c r="M219" s="533"/>
    </row>
    <row r="220" spans="2:23" ht="15.75">
      <c r="B220" s="867" t="s">
        <v>406</v>
      </c>
      <c r="C220" s="871">
        <v>1</v>
      </c>
      <c r="D220" s="871">
        <v>0</v>
      </c>
      <c r="K220"/>
      <c r="L220"/>
      <c r="M220"/>
      <c r="U220"/>
      <c r="V220"/>
      <c r="W220"/>
    </row>
    <row r="221" spans="2:23" ht="15.75">
      <c r="B221" s="867" t="s">
        <v>299</v>
      </c>
      <c r="C221" s="871">
        <v>0.99766048934764473</v>
      </c>
      <c r="D221" s="871">
        <v>2.33951065235527E-3</v>
      </c>
      <c r="K221"/>
      <c r="L221"/>
      <c r="M221"/>
      <c r="U221"/>
      <c r="V221"/>
      <c r="W221"/>
    </row>
    <row r="222" spans="2:23" ht="15.75">
      <c r="B222"/>
      <c r="C222"/>
      <c r="D222"/>
      <c r="K222"/>
      <c r="L222"/>
      <c r="M222"/>
    </row>
    <row r="223" spans="2:23" ht="15.75">
      <c r="B223"/>
      <c r="C223"/>
      <c r="D223"/>
      <c r="K223"/>
      <c r="L223"/>
      <c r="M223"/>
    </row>
    <row r="224" spans="2:23" ht="15.75">
      <c r="B224"/>
      <c r="C224"/>
      <c r="D224"/>
      <c r="K224"/>
      <c r="L224"/>
      <c r="M224"/>
    </row>
    <row r="225" spans="2:20" ht="15.75">
      <c r="B225"/>
      <c r="C225"/>
      <c r="D225"/>
      <c r="K225"/>
      <c r="L225"/>
      <c r="M225"/>
    </row>
    <row r="226" spans="2:20" ht="15.75">
      <c r="B226" s="863" t="s">
        <v>20</v>
      </c>
      <c r="C226" s="864" t="s">
        <v>2388</v>
      </c>
      <c r="K226"/>
      <c r="L226"/>
      <c r="M226"/>
    </row>
    <row r="227" spans="2:20" ht="15.75">
      <c r="B227" s="863" t="s">
        <v>35</v>
      </c>
      <c r="C227" s="864" t="s">
        <v>35</v>
      </c>
      <c r="D227" s="115"/>
      <c r="K227"/>
      <c r="L227"/>
      <c r="M227"/>
    </row>
    <row r="228" spans="2:20" ht="15.75">
      <c r="K228"/>
      <c r="L228"/>
      <c r="M228"/>
    </row>
    <row r="229" spans="2:20" ht="15.75">
      <c r="B229" s="864" t="s">
        <v>3136</v>
      </c>
      <c r="C229" s="864" t="s">
        <v>3137</v>
      </c>
      <c r="D229" s="864" t="s">
        <v>3138</v>
      </c>
      <c r="K229"/>
      <c r="L229"/>
      <c r="M229"/>
    </row>
    <row r="230" spans="2:20">
      <c r="B230" s="871">
        <v>0.44750000000000001</v>
      </c>
      <c r="C230" s="871">
        <v>0.97000000000000008</v>
      </c>
      <c r="D230" s="871">
        <v>0.83750000000000002</v>
      </c>
    </row>
    <row r="231" spans="2:20" ht="16.5" thickBot="1">
      <c r="B231"/>
      <c r="C231"/>
      <c r="D231"/>
      <c r="J231" s="533"/>
      <c r="K231" s="533"/>
      <c r="L231" s="533"/>
      <c r="M231" s="533"/>
    </row>
    <row r="232" spans="2:20" ht="15.75">
      <c r="B232" s="775"/>
      <c r="C232" s="776" t="s">
        <v>42</v>
      </c>
      <c r="D232" s="777" t="s">
        <v>130</v>
      </c>
      <c r="J232" s="533"/>
      <c r="K232" s="533"/>
      <c r="L232" s="533"/>
      <c r="M232" s="533"/>
    </row>
    <row r="233" spans="2:20" ht="15.75">
      <c r="B233" s="778" t="s">
        <v>3139</v>
      </c>
      <c r="C233" s="773">
        <v>0.44750000000000001</v>
      </c>
      <c r="D233" s="773">
        <f>1-C233</f>
        <v>0.55249999999999999</v>
      </c>
      <c r="J233" s="533"/>
      <c r="K233" s="533"/>
      <c r="L233" s="533"/>
      <c r="M233" s="533"/>
      <c r="T233"/>
    </row>
    <row r="234" spans="2:20" ht="15.75">
      <c r="B234" s="778" t="s">
        <v>3140</v>
      </c>
      <c r="C234" s="773">
        <v>0.97000000000000008</v>
      </c>
      <c r="D234" s="773">
        <f>1-C234</f>
        <v>2.9999999999999916E-2</v>
      </c>
      <c r="J234" s="533"/>
      <c r="K234" s="533"/>
      <c r="L234" s="533"/>
      <c r="M234" s="533"/>
    </row>
    <row r="235" spans="2:20" ht="16.5" thickBot="1">
      <c r="B235" s="779" t="s">
        <v>3141</v>
      </c>
      <c r="C235" s="774">
        <v>0.83750000000000002</v>
      </c>
      <c r="D235" s="774">
        <f>1-C235</f>
        <v>0.16249999999999998</v>
      </c>
      <c r="E235"/>
      <c r="F235"/>
      <c r="G235" s="462"/>
      <c r="H235" s="462"/>
      <c r="I235" s="462"/>
      <c r="J235" s="541"/>
      <c r="K235" s="541"/>
      <c r="L235" s="541"/>
      <c r="M235" s="541"/>
      <c r="N235" s="462"/>
      <c r="O235" s="462"/>
      <c r="P235" s="462"/>
      <c r="Q235" s="462"/>
      <c r="R235" s="462"/>
      <c r="S235" s="462"/>
      <c r="T235" s="462"/>
    </row>
    <row r="236" spans="2:20" ht="15.75">
      <c r="E236"/>
      <c r="F236"/>
      <c r="J236" s="533"/>
      <c r="K236" s="533"/>
      <c r="L236" s="533"/>
      <c r="M236" s="533"/>
    </row>
    <row r="237" spans="2:20" ht="15.75">
      <c r="E237"/>
      <c r="F237"/>
      <c r="J237" s="533"/>
      <c r="K237" s="533"/>
      <c r="L237" s="533"/>
      <c r="M237" s="533"/>
    </row>
    <row r="238" spans="2:20" ht="15.75">
      <c r="J238" s="533"/>
      <c r="K238" s="533"/>
      <c r="L238" s="533"/>
      <c r="M238" s="533"/>
    </row>
    <row r="239" spans="2:20" ht="15.75">
      <c r="J239" s="533"/>
      <c r="K239" s="533"/>
      <c r="L239" s="533"/>
      <c r="M239" s="533"/>
      <c r="T239"/>
    </row>
    <row r="240" spans="2:20" ht="15.75">
      <c r="B240" s="863" t="s">
        <v>20</v>
      </c>
      <c r="C240" s="864" t="s">
        <v>2388</v>
      </c>
      <c r="J240" s="863" t="s">
        <v>20</v>
      </c>
      <c r="K240" s="864" t="s">
        <v>2388</v>
      </c>
      <c r="L240" s="533"/>
      <c r="M240" s="533"/>
      <c r="T240"/>
    </row>
    <row r="241" spans="1:26" ht="15.75">
      <c r="B241" s="863" t="s">
        <v>35</v>
      </c>
      <c r="C241" s="864" t="s">
        <v>35</v>
      </c>
      <c r="D241" s="115"/>
      <c r="J241" s="863" t="s">
        <v>35</v>
      </c>
      <c r="K241" s="864" t="s">
        <v>35</v>
      </c>
      <c r="L241" s="533"/>
      <c r="M241" s="533"/>
      <c r="T241"/>
    </row>
    <row r="242" spans="1:26" ht="15.75">
      <c r="B242" s="814" t="s">
        <v>3175</v>
      </c>
      <c r="J242" s="814" t="s">
        <v>3175</v>
      </c>
      <c r="L242" s="533"/>
      <c r="M242" s="533"/>
      <c r="T242"/>
      <c r="W242"/>
      <c r="X242"/>
      <c r="Y242"/>
    </row>
    <row r="243" spans="1:26" ht="15.75">
      <c r="B243" s="863" t="s">
        <v>1888</v>
      </c>
      <c r="C243" s="864"/>
      <c r="D243"/>
      <c r="E243" s="814" t="s">
        <v>1947</v>
      </c>
      <c r="F243" t="s">
        <v>3177</v>
      </c>
      <c r="G243" t="s">
        <v>3176</v>
      </c>
      <c r="J243" s="864" t="s">
        <v>2883</v>
      </c>
      <c r="K243"/>
      <c r="L243" s="541"/>
      <c r="M243" s="541"/>
      <c r="N243" s="462"/>
      <c r="O243" s="462"/>
      <c r="P243" s="462"/>
      <c r="Q243" s="462"/>
      <c r="R243" s="462"/>
      <c r="S243" s="462"/>
      <c r="T243" s="541"/>
      <c r="U243" s="462"/>
      <c r="V243" s="462"/>
      <c r="W243" s="541"/>
      <c r="X243" s="541"/>
      <c r="Y243" s="541"/>
      <c r="Z243" s="462"/>
    </row>
    <row r="244" spans="1:26" ht="15.75">
      <c r="B244" s="867" t="s">
        <v>3178</v>
      </c>
      <c r="C244" s="869">
        <v>119120</v>
      </c>
      <c r="D244"/>
      <c r="E244">
        <f>GETPIVOTDATA(" Total PoP ",$B$243)</f>
        <v>119120</v>
      </c>
      <c r="F244">
        <f>GETPIVOTDATA("Men",$B$243)+GETPIVOTDATA("Women",$B$243)+GETPIVOTDATA("Boys",$B$243)+GETPIVOTDATA("Girls",$B$243)</f>
        <v>65662</v>
      </c>
      <c r="G244" s="541">
        <f>E244-F244</f>
        <v>53458</v>
      </c>
      <c r="J244" s="869">
        <v>119120</v>
      </c>
      <c r="K244"/>
      <c r="L244"/>
      <c r="M244"/>
      <c r="T244"/>
      <c r="W244"/>
      <c r="X244"/>
      <c r="Y244"/>
    </row>
    <row r="245" spans="1:26" ht="15.75">
      <c r="B245" s="867" t="s">
        <v>3120</v>
      </c>
      <c r="C245" s="869">
        <v>7303</v>
      </c>
      <c r="D245" s="533"/>
      <c r="J245"/>
      <c r="K245"/>
      <c r="L245"/>
      <c r="M245"/>
      <c r="T245"/>
      <c r="U245"/>
      <c r="V245"/>
      <c r="W245"/>
      <c r="X245"/>
      <c r="Y245"/>
    </row>
    <row r="246" spans="1:26" ht="15.75">
      <c r="B246" s="867" t="s">
        <v>3121</v>
      </c>
      <c r="C246" s="869">
        <v>33732</v>
      </c>
      <c r="E246" s="799" t="s">
        <v>3179</v>
      </c>
      <c r="F246" s="799" t="s">
        <v>3120</v>
      </c>
      <c r="G246" s="799" t="s">
        <v>3121</v>
      </c>
      <c r="H246" s="799" t="s">
        <v>3122</v>
      </c>
      <c r="I246" s="838" t="s">
        <v>3123</v>
      </c>
      <c r="U246"/>
      <c r="V246"/>
      <c r="W246"/>
      <c r="X246"/>
      <c r="Y246"/>
    </row>
    <row r="247" spans="1:26" ht="15.75">
      <c r="B247" s="867" t="s">
        <v>3122</v>
      </c>
      <c r="C247" s="869">
        <v>8819</v>
      </c>
      <c r="E247" s="837">
        <f>E244-F244</f>
        <v>53458</v>
      </c>
      <c r="F247" s="837">
        <f>GETPIVOTDATA("Men",$B$243)</f>
        <v>7303</v>
      </c>
      <c r="G247" s="837">
        <f>GETPIVOTDATA("Women",$B$243)</f>
        <v>33732</v>
      </c>
      <c r="H247" s="837">
        <f>GETPIVOTDATA("Boys",$B$243)</f>
        <v>8819</v>
      </c>
      <c r="I247" s="836">
        <f>GETPIVOTDATA("Girls",$B$243)</f>
        <v>15808</v>
      </c>
      <c r="Q247" s="462"/>
      <c r="R247" s="462"/>
      <c r="S247" s="462"/>
      <c r="T247" s="462"/>
      <c r="U247" s="541"/>
      <c r="V247" s="541"/>
      <c r="W247" s="541"/>
      <c r="X247" s="541"/>
      <c r="Y247" s="541"/>
      <c r="Z247" s="462"/>
    </row>
    <row r="248" spans="1:26" ht="15.75">
      <c r="B248" s="867" t="s">
        <v>3123</v>
      </c>
      <c r="C248" s="869">
        <v>15808</v>
      </c>
      <c r="E248" s="462"/>
      <c r="F248" s="462"/>
      <c r="G248" s="462"/>
      <c r="H248" s="462"/>
      <c r="I248" s="462"/>
      <c r="J248" s="533"/>
      <c r="K248" s="533"/>
      <c r="L248" s="541"/>
      <c r="M248" s="541"/>
      <c r="N248" s="462"/>
      <c r="O248" s="462"/>
      <c r="P248" s="462"/>
      <c r="Q248" s="462"/>
      <c r="R248" s="462"/>
      <c r="S248" s="462"/>
      <c r="T248" s="462"/>
      <c r="U248" s="541"/>
      <c r="V248" s="541"/>
      <c r="W248" s="541"/>
      <c r="X248" s="541"/>
      <c r="Y248" s="541"/>
      <c r="Z248" s="462"/>
    </row>
    <row r="249" spans="1:26" ht="15.75">
      <c r="K249"/>
      <c r="L249"/>
      <c r="M249"/>
      <c r="U249"/>
      <c r="V249"/>
      <c r="W249"/>
    </row>
    <row r="250" spans="1:26" ht="15.75">
      <c r="K250"/>
      <c r="U250"/>
      <c r="V250"/>
      <c r="W250"/>
    </row>
    <row r="251" spans="1:26" ht="15.75">
      <c r="K251" s="508"/>
      <c r="U251" s="415"/>
      <c r="V251" s="415"/>
      <c r="W251" s="415"/>
    </row>
    <row r="252" spans="1:26" ht="15.75">
      <c r="K252" s="508"/>
      <c r="L252" s="509"/>
      <c r="M252" s="509"/>
      <c r="U252" s="415"/>
      <c r="V252" s="415"/>
      <c r="W252" s="415"/>
    </row>
    <row r="253" spans="1:26" ht="15.75">
      <c r="K253" s="508"/>
      <c r="L253" s="509"/>
      <c r="M253" s="509"/>
      <c r="U253" s="415"/>
      <c r="V253" s="415"/>
      <c r="W253" s="415"/>
    </row>
    <row r="254" spans="1:26" ht="15.75">
      <c r="K254" s="508"/>
      <c r="L254" s="509"/>
      <c r="M254" s="509"/>
      <c r="U254" s="415"/>
      <c r="V254" s="415"/>
      <c r="W254" s="415"/>
    </row>
    <row r="255" spans="1:26" ht="18.75">
      <c r="A255" s="158" t="s">
        <v>1640</v>
      </c>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row>
    <row r="256" spans="1:26">
      <c r="B256" s="115"/>
      <c r="C256" s="115"/>
      <c r="D256" s="115"/>
    </row>
    <row r="257" spans="2:16" ht="15.75">
      <c r="B257" s="115"/>
      <c r="C257" s="115"/>
      <c r="D257" s="115"/>
      <c r="K257"/>
      <c r="L257"/>
    </row>
    <row r="258" spans="2:16">
      <c r="H258" s="863" t="s">
        <v>20</v>
      </c>
      <c r="I258" s="864" t="s">
        <v>2388</v>
      </c>
      <c r="K258" s="863" t="s">
        <v>20</v>
      </c>
      <c r="L258" s="864" t="s">
        <v>2388</v>
      </c>
    </row>
    <row r="259" spans="2:16">
      <c r="H259" s="874" t="s">
        <v>22</v>
      </c>
      <c r="I259" s="864" t="s">
        <v>2707</v>
      </c>
      <c r="K259" s="863" t="s">
        <v>35</v>
      </c>
      <c r="L259" s="864" t="s">
        <v>35</v>
      </c>
    </row>
    <row r="261" spans="2:16" ht="15.75">
      <c r="H261" s="863" t="s">
        <v>1889</v>
      </c>
      <c r="I261" s="863" t="s">
        <v>1887</v>
      </c>
      <c r="J261"/>
      <c r="K261" s="863" t="s">
        <v>1888</v>
      </c>
      <c r="L261" s="864"/>
      <c r="P261"/>
    </row>
    <row r="262" spans="2:16" ht="15.75">
      <c r="H262" s="863" t="s">
        <v>1628</v>
      </c>
      <c r="I262" s="864" t="s">
        <v>35</v>
      </c>
      <c r="J262"/>
      <c r="K262" s="867" t="s">
        <v>3180</v>
      </c>
      <c r="L262" s="868">
        <v>537</v>
      </c>
      <c r="M262" s="462"/>
      <c r="N262" s="462"/>
      <c r="O262" s="462"/>
      <c r="P262" s="541"/>
    </row>
    <row r="263" spans="2:16" ht="15.75">
      <c r="H263" s="867" t="s">
        <v>44</v>
      </c>
      <c r="I263" s="868">
        <v>25</v>
      </c>
      <c r="J263"/>
      <c r="K263" s="867" t="s">
        <v>3181</v>
      </c>
      <c r="L263" s="868">
        <v>1761</v>
      </c>
      <c r="P263"/>
    </row>
    <row r="264" spans="2:16" ht="15.75">
      <c r="H264"/>
      <c r="I264"/>
      <c r="J264"/>
      <c r="K264" s="867" t="s">
        <v>3182</v>
      </c>
      <c r="L264" s="868">
        <v>329</v>
      </c>
      <c r="P264"/>
    </row>
    <row r="265" spans="2:16" ht="15.75">
      <c r="H265"/>
      <c r="I265"/>
      <c r="J265"/>
      <c r="K265" s="867" t="s">
        <v>3183</v>
      </c>
      <c r="L265" s="868">
        <v>233</v>
      </c>
      <c r="N265"/>
      <c r="O265"/>
      <c r="P265"/>
    </row>
    <row r="266" spans="2:16" ht="15.75">
      <c r="C266"/>
      <c r="D266"/>
      <c r="E266"/>
      <c r="H266"/>
      <c r="I266"/>
      <c r="J266"/>
    </row>
    <row r="267" spans="2:16" ht="15.75">
      <c r="H267"/>
      <c r="I267"/>
      <c r="J267"/>
    </row>
    <row r="279" spans="1:26" ht="18.75">
      <c r="A279" s="159" t="s">
        <v>2006</v>
      </c>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row>
    <row r="282" spans="1:26" ht="15.75">
      <c r="C282"/>
      <c r="D282"/>
    </row>
    <row r="283" spans="1:26">
      <c r="C283" s="863" t="s">
        <v>20</v>
      </c>
      <c r="D283" s="864" t="s">
        <v>2388</v>
      </c>
    </row>
    <row r="285" spans="1:26">
      <c r="C285" s="863" t="s">
        <v>22</v>
      </c>
      <c r="D285" s="863" t="s">
        <v>23</v>
      </c>
      <c r="E285" s="863" t="s">
        <v>24</v>
      </c>
      <c r="F285" s="863" t="s">
        <v>30</v>
      </c>
      <c r="G285" s="864" t="s">
        <v>1889</v>
      </c>
      <c r="H285" s="864" t="s">
        <v>1934</v>
      </c>
      <c r="I285" s="864" t="s">
        <v>1935</v>
      </c>
      <c r="J285" s="864" t="s">
        <v>1936</v>
      </c>
      <c r="K285" s="864" t="s">
        <v>1937</v>
      </c>
      <c r="L285" s="864" t="s">
        <v>1938</v>
      </c>
    </row>
    <row r="286" spans="1:26">
      <c r="C286" s="864" t="s">
        <v>2707</v>
      </c>
      <c r="D286" s="864" t="s">
        <v>361</v>
      </c>
      <c r="E286" s="864" t="s">
        <v>372</v>
      </c>
      <c r="F286" s="864" t="s">
        <v>794</v>
      </c>
      <c r="G286" s="868">
        <v>1</v>
      </c>
      <c r="H286" s="869">
        <v>356</v>
      </c>
      <c r="I286" s="869">
        <v>979</v>
      </c>
      <c r="J286" s="871">
        <v>0</v>
      </c>
      <c r="K286" s="871">
        <v>0</v>
      </c>
      <c r="L286" s="871">
        <v>0</v>
      </c>
    </row>
    <row r="287" spans="1:26">
      <c r="C287" s="864"/>
      <c r="D287" s="864" t="s">
        <v>306</v>
      </c>
      <c r="E287" s="864" t="s">
        <v>2702</v>
      </c>
      <c r="F287" s="864" t="s">
        <v>797</v>
      </c>
      <c r="G287" s="868">
        <v>1</v>
      </c>
      <c r="H287" s="869">
        <v>91</v>
      </c>
      <c r="I287" s="869">
        <v>581</v>
      </c>
      <c r="J287" s="871">
        <v>0</v>
      </c>
      <c r="K287" s="871">
        <v>0</v>
      </c>
      <c r="L287" s="871">
        <v>1</v>
      </c>
    </row>
    <row r="288" spans="1:26">
      <c r="C288" s="864"/>
      <c r="D288" s="864" t="s">
        <v>403</v>
      </c>
      <c r="E288" s="864" t="s">
        <v>404</v>
      </c>
      <c r="F288" s="864" t="s">
        <v>794</v>
      </c>
      <c r="G288" s="868">
        <v>1</v>
      </c>
      <c r="H288" s="869">
        <v>716</v>
      </c>
      <c r="I288" s="869">
        <v>2920</v>
      </c>
      <c r="J288" s="871">
        <v>0</v>
      </c>
      <c r="K288" s="871">
        <v>0</v>
      </c>
      <c r="L288" s="871">
        <v>0</v>
      </c>
    </row>
    <row r="289" spans="3:12">
      <c r="C289" s="864"/>
      <c r="D289" s="864" t="s">
        <v>406</v>
      </c>
      <c r="E289" s="864" t="s">
        <v>416</v>
      </c>
      <c r="F289" s="864" t="s">
        <v>794</v>
      </c>
      <c r="G289" s="868">
        <v>1</v>
      </c>
      <c r="H289" s="869">
        <v>1249</v>
      </c>
      <c r="I289" s="869">
        <v>4717</v>
      </c>
      <c r="J289" s="871">
        <v>0.72761563768559745</v>
      </c>
      <c r="K289" s="871">
        <v>0.12465550137799453</v>
      </c>
      <c r="L289" s="871">
        <v>0</v>
      </c>
    </row>
    <row r="290" spans="3:12">
      <c r="C290" s="864"/>
      <c r="D290" s="864"/>
      <c r="E290" s="864" t="s">
        <v>414</v>
      </c>
      <c r="F290" s="864" t="s">
        <v>794</v>
      </c>
      <c r="G290" s="868">
        <v>1</v>
      </c>
      <c r="H290" s="869">
        <v>1320</v>
      </c>
      <c r="I290" s="869">
        <v>6042</v>
      </c>
      <c r="J290" s="871">
        <v>0</v>
      </c>
      <c r="K290" s="871">
        <v>0.3495531281032771</v>
      </c>
      <c r="L290" s="871">
        <v>0</v>
      </c>
    </row>
    <row r="291" spans="3:12">
      <c r="C291" s="864"/>
      <c r="D291" s="864"/>
      <c r="E291" s="864" t="s">
        <v>410</v>
      </c>
      <c r="F291" s="864" t="s">
        <v>1873</v>
      </c>
      <c r="G291" s="868">
        <v>1</v>
      </c>
      <c r="H291" s="869">
        <v>1010</v>
      </c>
      <c r="I291" s="869">
        <v>4645</v>
      </c>
      <c r="J291" s="871">
        <v>0</v>
      </c>
      <c r="K291" s="871">
        <v>0.55349838536060281</v>
      </c>
      <c r="L291" s="871">
        <v>0</v>
      </c>
    </row>
    <row r="292" spans="3:12">
      <c r="C292" s="864"/>
      <c r="D292" s="864"/>
      <c r="E292" s="864" t="s">
        <v>411</v>
      </c>
      <c r="F292" s="864" t="s">
        <v>794</v>
      </c>
      <c r="G292" s="868">
        <v>1</v>
      </c>
      <c r="H292" s="869">
        <v>905</v>
      </c>
      <c r="I292" s="869">
        <v>4104</v>
      </c>
      <c r="J292" s="871">
        <v>0.33780304671142869</v>
      </c>
      <c r="K292" s="871">
        <v>0.26340155945419108</v>
      </c>
      <c r="L292" s="871">
        <v>0</v>
      </c>
    </row>
    <row r="293" spans="3:12">
      <c r="C293" s="864"/>
      <c r="D293" s="864"/>
      <c r="E293" s="864" t="s">
        <v>409</v>
      </c>
      <c r="F293" s="864" t="s">
        <v>794</v>
      </c>
      <c r="G293" s="868">
        <v>1</v>
      </c>
      <c r="H293" s="869">
        <v>744</v>
      </c>
      <c r="I293" s="869">
        <v>2805</v>
      </c>
      <c r="J293" s="871">
        <v>0</v>
      </c>
      <c r="K293" s="871">
        <v>0</v>
      </c>
      <c r="L293" s="871">
        <v>0</v>
      </c>
    </row>
    <row r="294" spans="3:12">
      <c r="C294" s="864"/>
      <c r="D294" s="864" t="s">
        <v>299</v>
      </c>
      <c r="E294" s="864" t="s">
        <v>418</v>
      </c>
      <c r="F294" s="864" t="s">
        <v>794</v>
      </c>
      <c r="G294" s="868">
        <v>1</v>
      </c>
      <c r="H294" s="869">
        <v>397</v>
      </c>
      <c r="I294" s="869">
        <v>2111</v>
      </c>
      <c r="J294" s="871">
        <v>0</v>
      </c>
      <c r="K294" s="871">
        <v>0</v>
      </c>
      <c r="L294" s="871">
        <v>0.10232117479867364</v>
      </c>
    </row>
    <row r="295" spans="3:12">
      <c r="C295" s="864"/>
      <c r="D295" s="864"/>
      <c r="E295" s="864" t="s">
        <v>429</v>
      </c>
      <c r="F295" s="864" t="s">
        <v>794</v>
      </c>
      <c r="G295" s="868">
        <v>1</v>
      </c>
      <c r="H295" s="869">
        <v>1016</v>
      </c>
      <c r="I295" s="869">
        <v>4892</v>
      </c>
      <c r="J295" s="871">
        <v>0</v>
      </c>
      <c r="K295" s="871">
        <v>0.15576451349141451</v>
      </c>
      <c r="L295" s="871">
        <v>0</v>
      </c>
    </row>
    <row r="296" spans="3:12">
      <c r="C296" s="864"/>
      <c r="D296" s="864"/>
      <c r="E296" s="864" t="s">
        <v>431</v>
      </c>
      <c r="F296" s="864" t="s">
        <v>794</v>
      </c>
      <c r="G296" s="868">
        <v>1</v>
      </c>
      <c r="H296" s="869">
        <v>1311</v>
      </c>
      <c r="I296" s="869">
        <v>6936</v>
      </c>
      <c r="J296" s="871">
        <v>0</v>
      </c>
      <c r="K296" s="871">
        <v>0.15945790080738176</v>
      </c>
      <c r="L296" s="871">
        <v>0</v>
      </c>
    </row>
    <row r="297" spans="3:12">
      <c r="C297" s="864"/>
      <c r="D297" s="864"/>
      <c r="E297" s="864" t="s">
        <v>428</v>
      </c>
      <c r="F297" s="864" t="s">
        <v>794</v>
      </c>
      <c r="G297" s="868">
        <v>1</v>
      </c>
      <c r="H297" s="869">
        <v>2009</v>
      </c>
      <c r="I297" s="869">
        <v>11625</v>
      </c>
      <c r="J297" s="871">
        <v>0</v>
      </c>
      <c r="K297" s="871">
        <v>0.29806451612903229</v>
      </c>
      <c r="L297" s="871">
        <v>0</v>
      </c>
    </row>
    <row r="298" spans="3:12">
      <c r="C298" s="864"/>
      <c r="D298" s="864"/>
      <c r="E298" s="864" t="s">
        <v>427</v>
      </c>
      <c r="F298" s="864" t="s">
        <v>772</v>
      </c>
      <c r="G298" s="868">
        <v>1</v>
      </c>
      <c r="H298" s="869">
        <v>604</v>
      </c>
      <c r="I298" s="869">
        <v>3360</v>
      </c>
      <c r="J298" s="871">
        <v>0</v>
      </c>
      <c r="K298" s="871">
        <v>1</v>
      </c>
      <c r="L298" s="871">
        <v>0</v>
      </c>
    </row>
    <row r="299" spans="3:12">
      <c r="C299" s="864"/>
      <c r="D299" s="864"/>
      <c r="E299" s="864" t="s">
        <v>435</v>
      </c>
      <c r="F299" s="864" t="s">
        <v>794</v>
      </c>
      <c r="G299" s="868">
        <v>1</v>
      </c>
      <c r="H299" s="869">
        <v>656</v>
      </c>
      <c r="I299" s="869">
        <v>3486</v>
      </c>
      <c r="J299" s="871">
        <v>0</v>
      </c>
      <c r="K299" s="871">
        <v>0</v>
      </c>
      <c r="L299" s="871">
        <v>0</v>
      </c>
    </row>
    <row r="300" spans="3:12">
      <c r="C300" s="864"/>
      <c r="D300" s="864"/>
      <c r="E300" s="864" t="s">
        <v>445</v>
      </c>
      <c r="F300" s="864" t="s">
        <v>794</v>
      </c>
      <c r="G300" s="868">
        <v>1</v>
      </c>
      <c r="H300" s="869">
        <v>673</v>
      </c>
      <c r="I300" s="869">
        <v>3095</v>
      </c>
      <c r="J300" s="871">
        <v>0</v>
      </c>
      <c r="K300" s="871">
        <v>0</v>
      </c>
      <c r="L300" s="871">
        <v>0</v>
      </c>
    </row>
    <row r="301" spans="3:12">
      <c r="C301" s="864"/>
      <c r="D301" s="864"/>
      <c r="E301" s="864" t="s">
        <v>436</v>
      </c>
      <c r="F301" s="864" t="s">
        <v>794</v>
      </c>
      <c r="G301" s="868">
        <v>1</v>
      </c>
      <c r="H301" s="869">
        <v>2428</v>
      </c>
      <c r="I301" s="869">
        <v>13302</v>
      </c>
      <c r="J301" s="871">
        <v>0</v>
      </c>
      <c r="K301" s="871">
        <v>0.33318298000300706</v>
      </c>
      <c r="L301" s="871">
        <v>0</v>
      </c>
    </row>
    <row r="302" spans="3:12">
      <c r="C302" s="864"/>
      <c r="D302" s="864"/>
      <c r="E302" s="864" t="s">
        <v>434</v>
      </c>
      <c r="F302" s="864" t="s">
        <v>794</v>
      </c>
      <c r="G302" s="868">
        <v>1</v>
      </c>
      <c r="H302" s="869">
        <v>2260</v>
      </c>
      <c r="I302" s="869">
        <v>11487</v>
      </c>
      <c r="J302" s="871">
        <v>0</v>
      </c>
      <c r="K302" s="871">
        <v>0.4066335857926352</v>
      </c>
      <c r="L302" s="871">
        <v>0</v>
      </c>
    </row>
    <row r="303" spans="3:12">
      <c r="C303" s="864"/>
      <c r="D303" s="864"/>
      <c r="E303" s="864" t="s">
        <v>443</v>
      </c>
      <c r="F303" s="864" t="s">
        <v>794</v>
      </c>
      <c r="G303" s="868">
        <v>1</v>
      </c>
      <c r="H303" s="869">
        <v>2280</v>
      </c>
      <c r="I303" s="869">
        <v>11564</v>
      </c>
      <c r="J303" s="871">
        <v>0</v>
      </c>
      <c r="K303" s="871">
        <v>0</v>
      </c>
      <c r="L303" s="871">
        <v>0</v>
      </c>
    </row>
    <row r="304" spans="3:12">
      <c r="C304" s="864"/>
      <c r="D304" s="864"/>
      <c r="E304" s="864" t="s">
        <v>426</v>
      </c>
      <c r="F304" s="864" t="s">
        <v>797</v>
      </c>
      <c r="G304" s="868">
        <v>1</v>
      </c>
      <c r="H304" s="869">
        <v>1139</v>
      </c>
      <c r="I304" s="869">
        <v>6016</v>
      </c>
      <c r="J304" s="871">
        <v>0</v>
      </c>
      <c r="K304" s="871">
        <v>0.33178191489361697</v>
      </c>
      <c r="L304" s="871">
        <v>0</v>
      </c>
    </row>
    <row r="305" spans="1:25">
      <c r="C305" s="864"/>
      <c r="D305" s="864"/>
      <c r="E305" s="864" t="s">
        <v>430</v>
      </c>
      <c r="F305" s="864" t="s">
        <v>794</v>
      </c>
      <c r="G305" s="868">
        <v>1</v>
      </c>
      <c r="H305" s="869">
        <v>1013</v>
      </c>
      <c r="I305" s="869">
        <v>5950</v>
      </c>
      <c r="J305" s="871">
        <v>0</v>
      </c>
      <c r="K305" s="871">
        <v>0.1546218487394958</v>
      </c>
      <c r="L305" s="871">
        <v>0</v>
      </c>
    </row>
    <row r="306" spans="1:25">
      <c r="C306" s="864"/>
      <c r="D306" s="864"/>
      <c r="E306" s="864" t="s">
        <v>432</v>
      </c>
      <c r="F306" s="864" t="s">
        <v>772</v>
      </c>
      <c r="G306" s="868">
        <v>1</v>
      </c>
      <c r="H306" s="869">
        <v>299</v>
      </c>
      <c r="I306" s="869">
        <v>1670</v>
      </c>
      <c r="J306" s="871">
        <v>0</v>
      </c>
      <c r="K306" s="871">
        <v>0.52095808383233533</v>
      </c>
      <c r="L306" s="871">
        <v>0</v>
      </c>
    </row>
    <row r="307" spans="1:25">
      <c r="C307" s="864"/>
      <c r="D307" s="864"/>
      <c r="E307" s="864" t="s">
        <v>2311</v>
      </c>
      <c r="F307" s="864" t="s">
        <v>794</v>
      </c>
      <c r="G307" s="868">
        <v>1</v>
      </c>
      <c r="H307" s="869">
        <v>400</v>
      </c>
      <c r="I307" s="869">
        <v>2186</v>
      </c>
      <c r="J307" s="871">
        <v>0</v>
      </c>
      <c r="K307" s="871">
        <v>0.21774931381518758</v>
      </c>
      <c r="L307" s="871">
        <v>0</v>
      </c>
    </row>
    <row r="308" spans="1:25">
      <c r="C308" s="864"/>
      <c r="D308" s="864"/>
      <c r="E308" s="864" t="s">
        <v>2310</v>
      </c>
      <c r="F308" s="864" t="s">
        <v>794</v>
      </c>
      <c r="G308" s="868">
        <v>1</v>
      </c>
      <c r="H308" s="869">
        <v>400</v>
      </c>
      <c r="I308" s="869">
        <v>2248</v>
      </c>
      <c r="J308" s="871">
        <v>0</v>
      </c>
      <c r="K308" s="871">
        <v>2.1352313167259829E-2</v>
      </c>
      <c r="L308" s="871">
        <v>0</v>
      </c>
    </row>
    <row r="309" spans="1:25">
      <c r="C309" s="864"/>
      <c r="D309" s="864"/>
      <c r="E309" s="864" t="s">
        <v>2312</v>
      </c>
      <c r="F309" s="864" t="s">
        <v>794</v>
      </c>
      <c r="G309" s="868">
        <v>1</v>
      </c>
      <c r="H309" s="869">
        <v>400</v>
      </c>
      <c r="I309" s="869">
        <v>2285</v>
      </c>
      <c r="J309" s="871">
        <v>0</v>
      </c>
      <c r="K309" s="871">
        <v>0</v>
      </c>
      <c r="L309" s="871">
        <v>0</v>
      </c>
    </row>
    <row r="310" spans="1:25">
      <c r="C310" s="864"/>
      <c r="D310" s="864"/>
      <c r="E310" s="864" t="s">
        <v>2700</v>
      </c>
      <c r="F310" s="864" t="s">
        <v>772</v>
      </c>
      <c r="G310" s="868">
        <v>1</v>
      </c>
      <c r="H310" s="869">
        <v>22</v>
      </c>
      <c r="I310" s="869">
        <v>114</v>
      </c>
      <c r="J310" s="871">
        <v>0</v>
      </c>
      <c r="K310" s="871">
        <v>0.1228070175438597</v>
      </c>
      <c r="L310" s="871">
        <v>0</v>
      </c>
    </row>
    <row r="311" spans="1:25">
      <c r="C311" s="864" t="s">
        <v>2708</v>
      </c>
      <c r="D311" s="864"/>
      <c r="E311" s="864"/>
      <c r="F311" s="864"/>
      <c r="G311" s="868">
        <v>25</v>
      </c>
      <c r="H311" s="869">
        <v>23698</v>
      </c>
      <c r="I311" s="869">
        <v>119120</v>
      </c>
      <c r="J311" s="871">
        <v>4.2616747375881045E-2</v>
      </c>
      <c r="K311" s="871">
        <v>0.20053930250045163</v>
      </c>
      <c r="L311" s="871">
        <v>4.4092846991946946E-2</v>
      </c>
    </row>
    <row r="312" spans="1:25" ht="15.75">
      <c r="C312"/>
      <c r="D312"/>
      <c r="E312"/>
      <c r="F312"/>
      <c r="G312"/>
      <c r="H312"/>
      <c r="I312"/>
      <c r="J312"/>
      <c r="K312"/>
      <c r="L312"/>
    </row>
    <row r="313" spans="1:25" ht="15.75">
      <c r="C313"/>
      <c r="D313"/>
      <c r="E313"/>
      <c r="F313"/>
      <c r="G313"/>
      <c r="H313"/>
      <c r="I313"/>
      <c r="J313"/>
      <c r="K313"/>
      <c r="L313"/>
    </row>
    <row r="314" spans="1:25">
      <c r="C314" s="511"/>
      <c r="D314" s="511"/>
      <c r="E314" s="511"/>
      <c r="F314" s="511"/>
      <c r="G314" s="512"/>
      <c r="H314" s="513"/>
      <c r="I314" s="513"/>
      <c r="J314" s="514"/>
      <c r="K314" s="514"/>
      <c r="L314" s="514"/>
    </row>
    <row r="315" spans="1:25">
      <c r="C315" s="511"/>
      <c r="D315" s="511"/>
      <c r="E315" s="511"/>
      <c r="F315" s="511"/>
      <c r="G315" s="512"/>
      <c r="H315" s="513"/>
      <c r="I315" s="513"/>
      <c r="J315" s="514"/>
      <c r="K315" s="514"/>
      <c r="L315" s="514"/>
    </row>
    <row r="316" spans="1:25">
      <c r="C316" s="511"/>
      <c r="D316" s="511"/>
      <c r="E316" s="511"/>
      <c r="F316" s="511"/>
      <c r="G316" s="512"/>
      <c r="H316" s="513"/>
      <c r="I316" s="513"/>
      <c r="J316" s="514"/>
      <c r="K316" s="514"/>
      <c r="L316" s="514"/>
    </row>
    <row r="317" spans="1:25" ht="18.75">
      <c r="A317" s="160" t="s">
        <v>1939</v>
      </c>
      <c r="B317" s="136"/>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row>
    <row r="318" spans="1:25">
      <c r="C318" s="115"/>
      <c r="D318" s="115"/>
      <c r="E318" s="115"/>
      <c r="F318" s="115"/>
      <c r="G318" s="115"/>
      <c r="H318" s="115"/>
      <c r="I318" s="115"/>
      <c r="J318" s="115"/>
      <c r="K318" s="115"/>
    </row>
    <row r="319" spans="1:25">
      <c r="C319" s="115"/>
      <c r="D319" s="115"/>
      <c r="E319" s="115"/>
      <c r="F319" s="115"/>
      <c r="G319" s="115"/>
      <c r="H319" s="115"/>
      <c r="I319" s="115"/>
      <c r="J319" s="115"/>
      <c r="K319" s="115"/>
    </row>
    <row r="320" spans="1:25">
      <c r="C320" s="115"/>
      <c r="D320" s="115"/>
      <c r="E320" s="115"/>
      <c r="F320" s="115"/>
      <c r="G320" s="115"/>
      <c r="H320" s="115"/>
      <c r="I320" s="115"/>
      <c r="J320" s="115"/>
      <c r="K320" s="115"/>
    </row>
    <row r="321" spans="3:11">
      <c r="C321" s="863" t="s">
        <v>20</v>
      </c>
      <c r="D321" s="864" t="s">
        <v>2388</v>
      </c>
      <c r="F321" s="115"/>
      <c r="G321" s="115"/>
      <c r="H321" s="115"/>
      <c r="I321" s="115"/>
      <c r="J321" s="115"/>
      <c r="K321" s="115"/>
    </row>
    <row r="322" spans="3:11">
      <c r="C322" s="863" t="s">
        <v>35</v>
      </c>
      <c r="D322" s="864" t="s">
        <v>35</v>
      </c>
      <c r="F322" s="115"/>
      <c r="G322" s="115"/>
      <c r="H322" s="115"/>
      <c r="I322" s="115"/>
      <c r="J322" s="115"/>
      <c r="K322" s="115"/>
    </row>
    <row r="323" spans="3:11">
      <c r="C323" s="511"/>
      <c r="F323" s="115"/>
      <c r="G323" s="115"/>
      <c r="H323" s="115"/>
      <c r="I323" s="115"/>
      <c r="J323" s="115"/>
      <c r="K323" s="115"/>
    </row>
    <row r="324" spans="3:11" s="113" customFormat="1" ht="15.75">
      <c r="C324" s="870" t="s">
        <v>22</v>
      </c>
      <c r="D324" s="864" t="s">
        <v>2909</v>
      </c>
      <c r="E324" s="864" t="s">
        <v>3143</v>
      </c>
      <c r="F324"/>
      <c r="G324"/>
      <c r="H324"/>
      <c r="I324"/>
      <c r="J324" s="477"/>
      <c r="K324" s="477"/>
    </row>
    <row r="325" spans="3:11" ht="15.75">
      <c r="C325" s="867" t="s">
        <v>2707</v>
      </c>
      <c r="D325" s="869">
        <v>179</v>
      </c>
      <c r="E325" s="869">
        <v>54</v>
      </c>
      <c r="F325"/>
      <c r="G325"/>
      <c r="H325"/>
      <c r="I325"/>
      <c r="J325" s="115"/>
      <c r="K325" s="115"/>
    </row>
    <row r="326" spans="3:11" ht="15.75">
      <c r="C326"/>
      <c r="D326"/>
      <c r="E326"/>
      <c r="F326"/>
      <c r="G326"/>
      <c r="H326"/>
      <c r="I326"/>
      <c r="J326" s="115"/>
      <c r="K326" s="115"/>
    </row>
    <row r="327" spans="3:11" ht="15.75">
      <c r="C327"/>
      <c r="D327"/>
      <c r="E327"/>
      <c r="F327"/>
      <c r="G327"/>
      <c r="H327"/>
      <c r="I327"/>
      <c r="J327" s="115"/>
      <c r="K327" s="115"/>
    </row>
    <row r="328" spans="3:11" ht="15.75">
      <c r="C328"/>
      <c r="D328"/>
      <c r="E328"/>
      <c r="F328"/>
      <c r="G328"/>
      <c r="H328"/>
      <c r="I328"/>
      <c r="J328" s="115"/>
      <c r="K328" s="115"/>
    </row>
    <row r="329" spans="3:11">
      <c r="C329" s="115"/>
      <c r="D329" s="115"/>
      <c r="E329" s="115"/>
      <c r="F329" s="115"/>
      <c r="G329" s="115"/>
      <c r="H329" s="115"/>
      <c r="I329" s="115"/>
      <c r="J329" s="115"/>
      <c r="K329" s="115"/>
    </row>
    <row r="330" spans="3:11" s="478" customFormat="1" ht="41.25" customHeight="1">
      <c r="C330" s="115"/>
      <c r="D330" s="115"/>
      <c r="E330" s="115"/>
      <c r="F330" s="115"/>
      <c r="G330" s="479"/>
      <c r="H330" s="479"/>
    </row>
    <row r="331" spans="3:11">
      <c r="C331" s="115"/>
      <c r="D331" s="115"/>
      <c r="E331" s="115"/>
      <c r="F331" s="115"/>
      <c r="G331" s="115"/>
      <c r="H331" s="115"/>
    </row>
    <row r="332" spans="3:11">
      <c r="C332" s="115"/>
      <c r="D332" s="115"/>
      <c r="E332" s="115"/>
      <c r="F332" s="115"/>
      <c r="G332" s="115"/>
      <c r="H332" s="115"/>
    </row>
    <row r="333" spans="3:11">
      <c r="C333" s="115"/>
      <c r="D333" s="115"/>
      <c r="E333" s="115"/>
      <c r="F333" s="115"/>
      <c r="G333" s="115"/>
      <c r="H333" s="115"/>
    </row>
    <row r="334" spans="3:11">
      <c r="C334" s="115"/>
      <c r="D334" s="115"/>
      <c r="E334" s="115"/>
      <c r="F334" s="115"/>
      <c r="G334" s="115"/>
      <c r="H334" s="115"/>
      <c r="I334" s="115"/>
      <c r="J334" s="115"/>
      <c r="K334" s="115"/>
    </row>
    <row r="335" spans="3:11">
      <c r="C335" s="115"/>
      <c r="D335" s="115"/>
      <c r="E335" s="115"/>
      <c r="F335" s="115"/>
      <c r="G335" s="115"/>
      <c r="H335" s="115"/>
      <c r="I335" s="115"/>
      <c r="J335" s="115"/>
      <c r="K335" s="115"/>
    </row>
    <row r="336" spans="3:11">
      <c r="C336" s="115"/>
      <c r="D336" s="115"/>
      <c r="E336" s="115"/>
      <c r="F336" s="115"/>
      <c r="G336" s="115"/>
      <c r="H336" s="115"/>
      <c r="I336" s="115"/>
      <c r="J336" s="115"/>
      <c r="K336" s="115"/>
    </row>
    <row r="337" spans="3:17">
      <c r="C337" s="863" t="s">
        <v>20</v>
      </c>
      <c r="D337" s="864" t="s">
        <v>2388</v>
      </c>
      <c r="E337" s="115"/>
      <c r="F337" s="115"/>
      <c r="G337" s="115"/>
      <c r="H337" s="115"/>
      <c r="I337" s="115"/>
      <c r="J337" s="115"/>
      <c r="K337" s="115"/>
    </row>
    <row r="338" spans="3:17">
      <c r="C338" s="863" t="s">
        <v>35</v>
      </c>
      <c r="D338" s="864" t="s">
        <v>35</v>
      </c>
      <c r="F338" s="115"/>
      <c r="G338" s="115"/>
      <c r="H338" s="115"/>
      <c r="I338" s="115"/>
      <c r="J338" s="115"/>
      <c r="K338" s="115"/>
      <c r="L338" s="505"/>
      <c r="Q338" s="505"/>
    </row>
    <row r="339" spans="3:17">
      <c r="C339" s="863" t="s">
        <v>128</v>
      </c>
      <c r="D339" s="864" t="s">
        <v>44</v>
      </c>
      <c r="F339" s="115"/>
      <c r="G339" s="115"/>
      <c r="H339" s="115"/>
      <c r="I339" s="115"/>
      <c r="J339" s="115"/>
      <c r="K339" s="115"/>
    </row>
    <row r="340" spans="3:17">
      <c r="F340" s="115"/>
      <c r="G340" s="115"/>
      <c r="H340" s="115"/>
      <c r="I340" s="115"/>
      <c r="J340" s="115"/>
      <c r="K340" s="115"/>
    </row>
    <row r="341" spans="3:17" ht="15.75">
      <c r="C341" s="863" t="s">
        <v>2783</v>
      </c>
      <c r="D341" s="863" t="s">
        <v>1887</v>
      </c>
      <c r="E341" s="864"/>
      <c r="F341"/>
      <c r="G341"/>
      <c r="H341"/>
      <c r="I341" s="115"/>
      <c r="J341" s="115"/>
      <c r="K341" s="115"/>
    </row>
    <row r="342" spans="3:17" ht="15.75">
      <c r="C342" s="863" t="s">
        <v>22</v>
      </c>
      <c r="D342" s="864" t="s">
        <v>130</v>
      </c>
      <c r="E342" s="864" t="s">
        <v>42</v>
      </c>
      <c r="F342"/>
      <c r="G342"/>
      <c r="H342"/>
      <c r="I342" s="115"/>
      <c r="J342" s="115"/>
      <c r="K342" s="115"/>
    </row>
    <row r="343" spans="3:17" ht="15.75">
      <c r="C343" s="867" t="s">
        <v>2707</v>
      </c>
      <c r="D343" s="871">
        <v>0.08</v>
      </c>
      <c r="E343" s="871">
        <v>0.92</v>
      </c>
      <c r="F343"/>
      <c r="G343"/>
      <c r="H343"/>
      <c r="I343" s="115"/>
      <c r="J343" s="115"/>
      <c r="K343" s="115"/>
    </row>
    <row r="344" spans="3:17" ht="15.75">
      <c r="C344"/>
      <c r="D344"/>
      <c r="E344"/>
      <c r="F344"/>
      <c r="G344"/>
      <c r="H344"/>
      <c r="I344" s="115"/>
      <c r="J344" s="115"/>
      <c r="K344" s="115"/>
    </row>
    <row r="345" spans="3:17" ht="15.75">
      <c r="C345"/>
      <c r="D345"/>
      <c r="E345"/>
      <c r="F345"/>
      <c r="G345" s="115"/>
      <c r="H345" s="115"/>
      <c r="I345" s="115"/>
      <c r="J345" s="115"/>
      <c r="K345" s="115"/>
    </row>
    <row r="346" spans="3:17" ht="16.5" thickBot="1">
      <c r="C346"/>
      <c r="D346"/>
      <c r="E346" s="115"/>
      <c r="F346" s="115"/>
      <c r="G346" s="115"/>
      <c r="H346" s="115"/>
      <c r="I346" s="115"/>
      <c r="J346" s="115"/>
      <c r="K346" s="115"/>
    </row>
    <row r="347" spans="3:17">
      <c r="C347" s="781" t="s">
        <v>22</v>
      </c>
      <c r="D347" s="793" t="s">
        <v>42</v>
      </c>
      <c r="E347" s="794" t="s">
        <v>130</v>
      </c>
      <c r="F347" s="115"/>
      <c r="G347" s="115"/>
      <c r="H347" s="115"/>
      <c r="I347" s="115"/>
      <c r="J347" s="115"/>
      <c r="K347" s="115"/>
    </row>
    <row r="348" spans="3:17">
      <c r="C348" s="782" t="s">
        <v>2707</v>
      </c>
      <c r="D348" s="783">
        <f>GETPIVOTDATA("Sites with TLS",$C$341,"State","Central Rakhine","Sites with TLS","Yes")</f>
        <v>0.92</v>
      </c>
      <c r="E348" s="784">
        <f>GETPIVOTDATA("Sites with TLS",$C$341,"State","Central Rakhine","Sites with TLS","No")</f>
        <v>0.08</v>
      </c>
      <c r="F348" s="115"/>
      <c r="G348" s="115"/>
      <c r="H348" s="115"/>
      <c r="I348" s="115"/>
      <c r="J348" s="115"/>
      <c r="K348" s="115"/>
    </row>
    <row r="349" spans="3:17" ht="15.75" thickBot="1">
      <c r="C349" s="785"/>
      <c r="D349" s="786"/>
      <c r="E349" s="787"/>
      <c r="F349" s="115"/>
      <c r="G349" s="115"/>
      <c r="H349" s="115"/>
      <c r="I349" s="115"/>
      <c r="J349" s="115"/>
      <c r="K349" s="115"/>
    </row>
    <row r="350" spans="3:17">
      <c r="F350" s="115"/>
      <c r="G350" s="115"/>
      <c r="H350" s="115"/>
      <c r="I350" s="115"/>
      <c r="J350" s="115"/>
      <c r="K350" s="115"/>
    </row>
    <row r="351" spans="3:17">
      <c r="C351" s="115"/>
      <c r="D351" s="115"/>
      <c r="E351" s="115"/>
      <c r="F351" s="115"/>
      <c r="G351" s="115"/>
      <c r="H351" s="115"/>
      <c r="I351" s="115"/>
      <c r="J351" s="115"/>
      <c r="K351" s="115"/>
    </row>
    <row r="352" spans="3:17">
      <c r="C352" s="115"/>
      <c r="D352" s="115"/>
      <c r="E352" s="115"/>
      <c r="F352" s="115"/>
      <c r="G352" s="115"/>
      <c r="H352" s="115"/>
      <c r="I352" s="115"/>
      <c r="J352" s="115"/>
      <c r="K352" s="115"/>
    </row>
    <row r="353" spans="3:11">
      <c r="C353" s="115"/>
      <c r="D353" s="115"/>
      <c r="E353" s="115"/>
      <c r="F353" s="115"/>
      <c r="G353" s="115"/>
      <c r="H353" s="115"/>
      <c r="I353" s="115"/>
      <c r="J353" s="115"/>
      <c r="K353" s="115"/>
    </row>
    <row r="354" spans="3:11">
      <c r="C354" s="115"/>
      <c r="D354" s="115"/>
      <c r="E354" s="115"/>
      <c r="F354" s="115"/>
      <c r="G354" s="115"/>
      <c r="H354" s="115"/>
      <c r="I354" s="115"/>
      <c r="J354" s="115"/>
      <c r="K354" s="115"/>
    </row>
    <row r="355" spans="3:11">
      <c r="C355" s="863" t="s">
        <v>20</v>
      </c>
      <c r="D355" s="864" t="s">
        <v>2388</v>
      </c>
      <c r="F355" s="115"/>
      <c r="G355" s="115"/>
      <c r="H355" s="115"/>
      <c r="I355" s="115"/>
      <c r="J355" s="115"/>
      <c r="K355" s="115"/>
    </row>
    <row r="356" spans="3:11">
      <c r="C356" s="863" t="s">
        <v>35</v>
      </c>
      <c r="D356" s="864" t="s">
        <v>35</v>
      </c>
      <c r="F356" s="115"/>
      <c r="G356" s="115"/>
      <c r="H356" s="115"/>
      <c r="I356" s="115"/>
      <c r="J356" s="115"/>
      <c r="K356" s="115"/>
    </row>
    <row r="357" spans="3:11">
      <c r="C357" s="511"/>
      <c r="F357" s="115"/>
      <c r="G357" s="115"/>
      <c r="H357" s="115"/>
      <c r="I357" s="115"/>
      <c r="J357" s="115"/>
      <c r="K357" s="115"/>
    </row>
    <row r="358" spans="3:11" ht="15.75">
      <c r="C358" s="864" t="s">
        <v>3142</v>
      </c>
      <c r="D358"/>
      <c r="E358"/>
      <c r="F358"/>
      <c r="G358" s="771"/>
      <c r="H358" s="771"/>
      <c r="I358" s="771"/>
      <c r="J358" s="771"/>
      <c r="K358" s="771"/>
    </row>
    <row r="359" spans="3:11" ht="15.75">
      <c r="C359" s="871">
        <v>0.72235294117647042</v>
      </c>
      <c r="D359"/>
      <c r="E359"/>
      <c r="F359"/>
      <c r="G359" s="115"/>
      <c r="H359" s="115"/>
      <c r="I359" s="115"/>
      <c r="J359" s="115"/>
      <c r="K359" s="115"/>
    </row>
    <row r="360" spans="3:11" ht="15.75" thickBot="1">
      <c r="C360" s="115"/>
      <c r="D360" s="115"/>
      <c r="E360" s="115"/>
      <c r="F360" s="115"/>
      <c r="G360" s="115"/>
      <c r="H360" s="115"/>
      <c r="I360" s="115"/>
      <c r="J360" s="115"/>
      <c r="K360" s="115"/>
    </row>
    <row r="361" spans="3:11">
      <c r="C361" s="781"/>
      <c r="D361" s="793" t="s">
        <v>42</v>
      </c>
      <c r="E361" s="794" t="s">
        <v>130</v>
      </c>
      <c r="F361" s="115"/>
      <c r="G361" s="115"/>
      <c r="H361" s="115"/>
      <c r="I361" s="115"/>
      <c r="J361" s="115"/>
      <c r="K361" s="115"/>
    </row>
    <row r="362" spans="3:11">
      <c r="C362" s="782" t="s">
        <v>3145</v>
      </c>
      <c r="D362" s="783">
        <f>GETPIVOTDATA("%_of_TLS/CFS_with_a_designated_place_for_children_to_wash_hands_where_soap_is_available",$C$358)</f>
        <v>0.72235294117647042</v>
      </c>
      <c r="E362" s="784">
        <f>1-D362</f>
        <v>0.27764705882352958</v>
      </c>
      <c r="F362" s="115"/>
      <c r="G362" s="115"/>
      <c r="H362" s="115"/>
      <c r="I362" s="115"/>
      <c r="J362" s="115"/>
      <c r="K362" s="115"/>
    </row>
    <row r="363" spans="3:11" ht="15.75" thickBot="1">
      <c r="C363" s="785"/>
      <c r="D363" s="786"/>
      <c r="E363" s="787"/>
      <c r="F363" s="115"/>
      <c r="G363" s="115"/>
      <c r="H363" s="115"/>
      <c r="I363" s="115"/>
      <c r="J363" s="115"/>
      <c r="K363" s="115"/>
    </row>
    <row r="364" spans="3:11">
      <c r="C364" s="115"/>
      <c r="D364" s="115"/>
      <c r="E364" s="115"/>
      <c r="F364" s="115"/>
      <c r="G364" s="115"/>
      <c r="H364" s="115"/>
      <c r="I364" s="115"/>
      <c r="J364" s="115"/>
      <c r="K364" s="115"/>
    </row>
    <row r="365" spans="3:11">
      <c r="C365" s="115"/>
      <c r="D365" s="115"/>
      <c r="E365" s="115"/>
      <c r="F365" s="115"/>
      <c r="G365" s="115"/>
      <c r="H365" s="115"/>
      <c r="I365" s="115"/>
      <c r="J365" s="115"/>
      <c r="K365" s="115"/>
    </row>
    <row r="366" spans="3:11">
      <c r="C366" s="115"/>
      <c r="D366" s="115"/>
      <c r="E366" s="115"/>
      <c r="F366" s="115"/>
      <c r="G366" s="115"/>
      <c r="H366" s="115"/>
      <c r="I366" s="115"/>
      <c r="J366" s="115"/>
      <c r="K366" s="115"/>
    </row>
    <row r="367" spans="3:11">
      <c r="C367" s="115"/>
      <c r="D367" s="115"/>
      <c r="E367" s="115"/>
      <c r="F367" s="115"/>
      <c r="G367" s="115"/>
      <c r="H367" s="115"/>
      <c r="I367" s="115"/>
      <c r="J367" s="115"/>
      <c r="K367" s="115"/>
    </row>
    <row r="368" spans="3:11">
      <c r="C368" s="115"/>
      <c r="D368" s="115"/>
      <c r="E368" s="115"/>
      <c r="F368" s="115"/>
      <c r="G368" s="115"/>
      <c r="H368" s="115"/>
      <c r="I368" s="115"/>
      <c r="J368" s="115"/>
      <c r="K368" s="115"/>
    </row>
    <row r="369" spans="1:25" ht="18.75">
      <c r="A369" s="795" t="s">
        <v>3146</v>
      </c>
      <c r="B369" s="796"/>
      <c r="C369" s="796"/>
      <c r="D369" s="796"/>
      <c r="E369" s="796"/>
      <c r="F369" s="796"/>
      <c r="G369" s="796"/>
      <c r="H369" s="796"/>
      <c r="I369" s="796"/>
      <c r="J369" s="796"/>
      <c r="K369" s="796"/>
      <c r="L369" s="796"/>
      <c r="M369" s="796"/>
      <c r="N369" s="796"/>
      <c r="O369" s="796"/>
      <c r="P369" s="796"/>
      <c r="Q369" s="796"/>
      <c r="R369" s="796"/>
      <c r="S369" s="796"/>
      <c r="T369" s="796"/>
      <c r="U369" s="796"/>
      <c r="V369" s="796"/>
      <c r="W369" s="796"/>
      <c r="X369" s="796"/>
      <c r="Y369" s="796"/>
    </row>
    <row r="370" spans="1:25">
      <c r="C370" s="115"/>
      <c r="D370" s="115"/>
      <c r="E370" s="115"/>
      <c r="F370" s="115"/>
      <c r="G370" s="115"/>
      <c r="H370" s="115"/>
      <c r="I370" s="115"/>
      <c r="J370" s="115"/>
      <c r="K370" s="115"/>
    </row>
    <row r="371" spans="1:25">
      <c r="C371" s="115"/>
      <c r="D371" s="115"/>
      <c r="E371" s="115"/>
      <c r="F371" s="115"/>
      <c r="G371" s="115"/>
      <c r="H371" s="115"/>
      <c r="I371" s="115"/>
      <c r="J371" s="115"/>
      <c r="K371" s="115"/>
    </row>
    <row r="372" spans="1:25">
      <c r="C372" s="115"/>
      <c r="D372" s="115"/>
      <c r="E372" s="115"/>
      <c r="F372" s="115"/>
      <c r="G372" s="115"/>
      <c r="H372" s="115"/>
      <c r="I372" s="115"/>
      <c r="J372" s="115"/>
      <c r="K372" s="115"/>
    </row>
    <row r="373" spans="1:25">
      <c r="C373" s="863" t="s">
        <v>20</v>
      </c>
      <c r="D373" s="864" t="s">
        <v>2388</v>
      </c>
      <c r="E373" s="115"/>
      <c r="F373" s="115"/>
      <c r="G373" s="115"/>
      <c r="H373" s="115"/>
      <c r="I373" s="115"/>
      <c r="J373" s="115"/>
      <c r="K373" s="115"/>
    </row>
    <row r="374" spans="1:25">
      <c r="C374" s="863" t="s">
        <v>35</v>
      </c>
      <c r="D374" s="864" t="s">
        <v>35</v>
      </c>
      <c r="E374" s="115"/>
      <c r="F374" s="115"/>
      <c r="G374" s="115"/>
      <c r="H374" s="115"/>
      <c r="I374" s="115"/>
      <c r="J374" s="115"/>
      <c r="K374" s="115"/>
    </row>
    <row r="375" spans="1:25">
      <c r="C375" s="511"/>
      <c r="E375" s="115"/>
      <c r="F375" s="115"/>
      <c r="G375" s="115"/>
      <c r="H375" s="115"/>
      <c r="I375" s="115"/>
      <c r="J375" s="115"/>
      <c r="K375" s="115"/>
    </row>
    <row r="376" spans="1:25" ht="15.75">
      <c r="C376" s="864" t="s">
        <v>3148</v>
      </c>
      <c r="D376" s="864" t="s">
        <v>3149</v>
      </c>
      <c r="E376" s="864" t="s">
        <v>3147</v>
      </c>
      <c r="F376"/>
      <c r="G376" s="115"/>
      <c r="H376" s="115"/>
      <c r="I376" s="115"/>
      <c r="J376" s="115"/>
      <c r="K376" s="115"/>
    </row>
    <row r="377" spans="1:25" ht="15.75">
      <c r="C377" s="871">
        <v>0.85166666666666668</v>
      </c>
      <c r="D377" s="871">
        <v>0.8833333333333333</v>
      </c>
      <c r="E377" s="871">
        <v>0.68625000000000003</v>
      </c>
      <c r="F377"/>
      <c r="G377" s="115"/>
      <c r="H377" s="115"/>
      <c r="I377" s="115"/>
      <c r="J377" s="115"/>
      <c r="K377" s="115"/>
    </row>
    <row r="378" spans="1:25">
      <c r="C378" s="115"/>
      <c r="D378" s="115"/>
      <c r="E378" s="115"/>
      <c r="F378" s="115"/>
      <c r="G378" s="115"/>
      <c r="H378" s="115"/>
      <c r="I378" s="115"/>
      <c r="J378" s="115"/>
      <c r="K378" s="115"/>
    </row>
    <row r="379" spans="1:25">
      <c r="E379" s="115"/>
      <c r="F379" s="115"/>
      <c r="G379" s="115"/>
      <c r="H379" s="115"/>
      <c r="I379" s="115"/>
      <c r="J379" s="115"/>
      <c r="K379" s="115"/>
    </row>
    <row r="380" spans="1:25">
      <c r="D380" s="788" t="s">
        <v>42</v>
      </c>
      <c r="E380" s="115" t="s">
        <v>130</v>
      </c>
      <c r="F380" s="115"/>
      <c r="G380" s="115"/>
      <c r="H380" s="115"/>
      <c r="I380" s="115"/>
      <c r="J380" s="115"/>
      <c r="K380" s="115"/>
    </row>
    <row r="381" spans="1:25">
      <c r="C381" s="797" t="s">
        <v>3150</v>
      </c>
      <c r="D381" s="798">
        <v>0.85166666666666668</v>
      </c>
      <c r="E381" s="780">
        <f>1-D381</f>
        <v>0.14833333333333332</v>
      </c>
      <c r="F381" s="115"/>
      <c r="G381" s="115"/>
      <c r="H381" s="115"/>
      <c r="I381" s="115"/>
      <c r="J381" s="115"/>
      <c r="K381" s="115"/>
    </row>
    <row r="382" spans="1:25">
      <c r="C382" s="789" t="s">
        <v>3151</v>
      </c>
      <c r="D382" s="791">
        <v>0.8833333333333333</v>
      </c>
      <c r="E382" s="780">
        <f t="shared" ref="E382:E383" si="1">1-D382</f>
        <v>0.1166666666666667</v>
      </c>
      <c r="F382" s="115"/>
      <c r="G382" s="115"/>
      <c r="H382" s="115"/>
      <c r="I382" s="115"/>
      <c r="J382" s="115"/>
      <c r="K382" s="115"/>
    </row>
    <row r="383" spans="1:25">
      <c r="C383" s="790" t="s">
        <v>3152</v>
      </c>
      <c r="D383" s="792">
        <v>0.68625000000000003</v>
      </c>
      <c r="E383" s="780">
        <f t="shared" si="1"/>
        <v>0.31374999999999997</v>
      </c>
      <c r="F383" s="115"/>
      <c r="G383" s="115"/>
      <c r="H383" s="115"/>
      <c r="I383" s="115"/>
      <c r="J383" s="115"/>
      <c r="K383" s="115"/>
    </row>
    <row r="384" spans="1:25">
      <c r="C384" s="115"/>
      <c r="D384" s="115"/>
      <c r="E384" s="115"/>
      <c r="F384" s="115"/>
      <c r="G384" s="115"/>
      <c r="H384" s="115"/>
      <c r="I384" s="115"/>
      <c r="J384" s="115"/>
      <c r="K384" s="115"/>
    </row>
    <row r="385" spans="3:11">
      <c r="C385" s="115"/>
      <c r="D385" s="115"/>
      <c r="E385" s="115"/>
      <c r="F385" s="115"/>
      <c r="G385" s="115"/>
      <c r="H385" s="115"/>
      <c r="I385" s="115"/>
      <c r="J385" s="115"/>
      <c r="K385" s="115"/>
    </row>
    <row r="386" spans="3:11">
      <c r="C386" s="115"/>
      <c r="D386" s="115"/>
      <c r="E386" s="115"/>
      <c r="F386" s="115"/>
      <c r="G386" s="115"/>
      <c r="H386" s="115"/>
      <c r="I386" s="115"/>
      <c r="J386" s="115"/>
      <c r="K386" s="115"/>
    </row>
    <row r="387" spans="3:11">
      <c r="C387" s="115"/>
      <c r="D387" s="115"/>
      <c r="E387" s="115"/>
      <c r="F387" s="115"/>
      <c r="G387" s="115"/>
      <c r="H387" s="115"/>
      <c r="I387" s="115"/>
      <c r="J387" s="115"/>
      <c r="K387" s="115"/>
    </row>
    <row r="388" spans="3:11">
      <c r="C388" s="115"/>
      <c r="D388" s="115"/>
      <c r="E388" s="115"/>
      <c r="F388" s="115"/>
      <c r="G388" s="115"/>
      <c r="H388" s="115"/>
      <c r="I388" s="115"/>
      <c r="J388" s="115"/>
      <c r="K388" s="115"/>
    </row>
    <row r="389" spans="3:11">
      <c r="C389" s="115"/>
      <c r="D389" s="115"/>
      <c r="E389" s="115"/>
      <c r="F389" s="115"/>
      <c r="G389" s="115"/>
      <c r="H389" s="115"/>
      <c r="I389" s="115"/>
      <c r="J389" s="115"/>
      <c r="K389" s="115"/>
    </row>
    <row r="390" spans="3:11">
      <c r="C390" s="115"/>
      <c r="D390" s="115"/>
      <c r="E390" s="115"/>
      <c r="F390" s="115"/>
      <c r="G390" s="115"/>
      <c r="H390" s="115"/>
      <c r="I390" s="115"/>
      <c r="J390" s="115"/>
      <c r="K390" s="115"/>
    </row>
    <row r="391" spans="3:11">
      <c r="C391" s="115"/>
      <c r="D391" s="115"/>
      <c r="E391" s="115"/>
      <c r="F391" s="115"/>
      <c r="G391" s="115"/>
      <c r="H391" s="115"/>
      <c r="I391" s="115"/>
      <c r="J391" s="115"/>
      <c r="K391" s="115"/>
    </row>
    <row r="392" spans="3:11">
      <c r="C392" s="115"/>
      <c r="D392" s="115"/>
      <c r="E392" s="115"/>
      <c r="F392" s="115"/>
      <c r="G392" s="115"/>
      <c r="H392" s="115"/>
      <c r="I392" s="115"/>
      <c r="J392" s="115"/>
      <c r="K392" s="115"/>
    </row>
    <row r="393" spans="3:11">
      <c r="C393" s="115"/>
      <c r="D393" s="115"/>
      <c r="E393" s="115"/>
      <c r="F393" s="115"/>
      <c r="G393" s="115"/>
      <c r="H393" s="115"/>
      <c r="I393" s="115"/>
      <c r="J393" s="115"/>
      <c r="K393" s="115"/>
    </row>
    <row r="394" spans="3:11">
      <c r="C394" s="115"/>
      <c r="D394" s="115"/>
      <c r="E394" s="115"/>
      <c r="F394" s="115"/>
      <c r="G394" s="115"/>
      <c r="H394" s="115"/>
      <c r="I394" s="115"/>
      <c r="J394" s="115"/>
      <c r="K394" s="115"/>
    </row>
    <row r="395" spans="3:11">
      <c r="C395" s="115"/>
      <c r="D395" s="115"/>
      <c r="E395" s="115"/>
      <c r="F395" s="115"/>
      <c r="G395" s="115"/>
      <c r="H395" s="115"/>
      <c r="I395" s="115"/>
      <c r="J395" s="115"/>
      <c r="K395" s="115"/>
    </row>
    <row r="396" spans="3:11">
      <c r="C396" s="115"/>
      <c r="D396" s="115"/>
      <c r="E396" s="115"/>
      <c r="F396" s="115"/>
      <c r="G396" s="115"/>
      <c r="H396" s="115"/>
      <c r="I396" s="115"/>
      <c r="J396" s="115"/>
      <c r="K396" s="115"/>
    </row>
    <row r="397" spans="3:11">
      <c r="C397" s="115"/>
      <c r="D397" s="115"/>
      <c r="E397" s="115"/>
      <c r="F397" s="115"/>
      <c r="G397" s="115"/>
      <c r="H397" s="115"/>
      <c r="I397" s="115"/>
      <c r="J397" s="115"/>
      <c r="K397" s="115"/>
    </row>
    <row r="398" spans="3:11">
      <c r="C398" s="115"/>
      <c r="D398" s="115"/>
      <c r="E398" s="115"/>
      <c r="F398" s="115"/>
      <c r="G398" s="115"/>
      <c r="H398" s="115"/>
      <c r="I398" s="115"/>
      <c r="J398" s="115"/>
      <c r="K398" s="115"/>
    </row>
    <row r="399" spans="3:11">
      <c r="C399" s="115"/>
      <c r="D399" s="115"/>
      <c r="E399" s="115"/>
      <c r="F399" s="115"/>
      <c r="G399" s="115"/>
      <c r="H399" s="115"/>
      <c r="I399" s="115"/>
      <c r="J399" s="115"/>
      <c r="K399" s="115"/>
    </row>
    <row r="400" spans="3:11">
      <c r="C400" s="115"/>
      <c r="D400" s="115"/>
      <c r="E400" s="115"/>
      <c r="F400" s="115"/>
      <c r="G400" s="115"/>
      <c r="H400" s="115"/>
      <c r="I400" s="115"/>
      <c r="J400" s="115"/>
      <c r="K400" s="115"/>
    </row>
    <row r="401" spans="3:11">
      <c r="C401" s="115"/>
      <c r="D401" s="115"/>
      <c r="E401" s="115"/>
      <c r="F401" s="115"/>
      <c r="G401" s="115"/>
      <c r="H401" s="115"/>
      <c r="I401" s="115"/>
      <c r="J401" s="115"/>
      <c r="K401" s="115"/>
    </row>
    <row r="402" spans="3:11">
      <c r="C402" s="115"/>
      <c r="D402" s="115"/>
      <c r="E402" s="115"/>
      <c r="F402" s="115"/>
      <c r="G402" s="115"/>
      <c r="H402" s="115"/>
      <c r="I402" s="115"/>
      <c r="J402" s="115"/>
      <c r="K402" s="115"/>
    </row>
    <row r="403" spans="3:11">
      <c r="C403" s="115"/>
      <c r="D403" s="115"/>
      <c r="E403" s="115"/>
      <c r="F403" s="115"/>
      <c r="G403" s="115"/>
      <c r="H403" s="115"/>
      <c r="I403" s="115"/>
      <c r="J403" s="115"/>
      <c r="K403" s="115"/>
    </row>
    <row r="404" spans="3:11">
      <c r="C404" s="115"/>
      <c r="D404" s="115"/>
      <c r="E404" s="115"/>
      <c r="F404" s="115"/>
      <c r="G404" s="115"/>
      <c r="H404" s="115"/>
      <c r="I404" s="115"/>
      <c r="J404" s="115"/>
      <c r="K404" s="115"/>
    </row>
    <row r="405" spans="3:11">
      <c r="C405" s="115"/>
      <c r="D405" s="115"/>
      <c r="E405" s="115"/>
      <c r="F405" s="115"/>
      <c r="G405" s="115"/>
      <c r="H405" s="115"/>
      <c r="I405" s="115"/>
      <c r="J405" s="115"/>
      <c r="K405" s="115"/>
    </row>
    <row r="406" spans="3:11">
      <c r="C406" s="115"/>
      <c r="D406" s="115"/>
      <c r="E406" s="115"/>
      <c r="F406" s="115"/>
      <c r="G406" s="115"/>
      <c r="H406" s="115"/>
      <c r="I406" s="115"/>
      <c r="J406" s="115"/>
      <c r="K406" s="115"/>
    </row>
    <row r="407" spans="3:11">
      <c r="C407" s="115"/>
      <c r="D407" s="115"/>
      <c r="E407" s="115"/>
      <c r="F407" s="115"/>
      <c r="G407" s="115"/>
      <c r="H407" s="115"/>
      <c r="I407" s="115"/>
      <c r="J407" s="115"/>
      <c r="K407" s="115"/>
    </row>
    <row r="408" spans="3:11">
      <c r="C408" s="115"/>
      <c r="D408" s="115"/>
      <c r="E408" s="115"/>
      <c r="F408" s="115"/>
      <c r="G408" s="115"/>
      <c r="H408" s="115"/>
      <c r="I408" s="115"/>
      <c r="J408" s="115"/>
      <c r="K408" s="115"/>
    </row>
    <row r="409" spans="3:11">
      <c r="C409" s="115"/>
      <c r="D409" s="115"/>
      <c r="E409" s="115"/>
      <c r="F409" s="115"/>
      <c r="G409" s="115"/>
      <c r="H409" s="115"/>
      <c r="I409" s="115"/>
      <c r="J409" s="115"/>
      <c r="K409" s="115"/>
    </row>
    <row r="410" spans="3:11">
      <c r="C410" s="115"/>
      <c r="D410" s="115"/>
      <c r="E410" s="115"/>
      <c r="F410" s="115"/>
      <c r="G410" s="115"/>
      <c r="H410" s="115"/>
      <c r="I410" s="115"/>
      <c r="J410" s="115"/>
      <c r="K410" s="115"/>
    </row>
    <row r="411" spans="3:11">
      <c r="C411" s="115"/>
      <c r="D411" s="115"/>
      <c r="E411" s="115"/>
      <c r="F411" s="115"/>
      <c r="G411" s="115"/>
      <c r="H411" s="115"/>
      <c r="I411" s="115"/>
      <c r="J411" s="115"/>
      <c r="K411" s="115"/>
    </row>
    <row r="412" spans="3:11">
      <c r="C412" s="115"/>
      <c r="D412" s="115"/>
      <c r="E412" s="115"/>
      <c r="F412" s="115"/>
      <c r="G412" s="115"/>
      <c r="H412" s="115"/>
      <c r="I412" s="115"/>
      <c r="J412" s="115"/>
      <c r="K412" s="115"/>
    </row>
    <row r="413" spans="3:11">
      <c r="C413" s="115"/>
      <c r="D413" s="115"/>
      <c r="E413" s="115"/>
      <c r="F413" s="115"/>
      <c r="G413" s="115"/>
      <c r="H413" s="115"/>
      <c r="I413" s="115"/>
      <c r="J413" s="115"/>
      <c r="K413" s="115"/>
    </row>
    <row r="414" spans="3:11">
      <c r="C414" s="115"/>
      <c r="D414" s="115"/>
      <c r="E414" s="115"/>
      <c r="F414" s="115"/>
      <c r="G414" s="115"/>
      <c r="H414" s="115"/>
      <c r="I414" s="115"/>
      <c r="J414" s="115"/>
      <c r="K414" s="115"/>
    </row>
    <row r="415" spans="3:11">
      <c r="C415" s="115"/>
      <c r="D415" s="115"/>
      <c r="E415" s="115"/>
      <c r="F415" s="115"/>
      <c r="G415" s="115"/>
      <c r="H415" s="115"/>
      <c r="I415" s="115"/>
      <c r="J415" s="115"/>
      <c r="K415" s="115"/>
    </row>
    <row r="416" spans="3:11">
      <c r="C416" s="115"/>
      <c r="D416" s="115"/>
      <c r="E416" s="115"/>
      <c r="F416" s="115"/>
      <c r="G416" s="115"/>
      <c r="H416" s="115"/>
      <c r="I416" s="115"/>
      <c r="J416" s="115"/>
      <c r="K416" s="115"/>
    </row>
    <row r="417" spans="3:11">
      <c r="C417" s="115"/>
      <c r="D417" s="115"/>
      <c r="E417" s="115"/>
      <c r="F417" s="115"/>
      <c r="G417" s="115"/>
      <c r="H417" s="115"/>
      <c r="I417" s="115"/>
      <c r="J417" s="115"/>
      <c r="K417" s="115"/>
    </row>
    <row r="418" spans="3:11">
      <c r="C418" s="115"/>
      <c r="D418" s="115"/>
      <c r="E418" s="115"/>
      <c r="F418" s="115"/>
      <c r="G418" s="115"/>
      <c r="H418" s="115"/>
      <c r="I418" s="115"/>
      <c r="J418" s="115"/>
      <c r="K418" s="115"/>
    </row>
    <row r="419" spans="3:11">
      <c r="C419" s="115"/>
      <c r="D419" s="115"/>
      <c r="E419" s="115"/>
      <c r="F419" s="115"/>
      <c r="G419" s="115"/>
      <c r="H419" s="115"/>
      <c r="I419" s="115"/>
      <c r="J419" s="115"/>
      <c r="K419" s="115"/>
    </row>
    <row r="420" spans="3:11">
      <c r="C420" s="115"/>
      <c r="D420" s="115"/>
      <c r="E420" s="115"/>
      <c r="F420" s="115"/>
      <c r="G420" s="115"/>
      <c r="H420" s="115"/>
      <c r="I420" s="115"/>
      <c r="J420" s="115"/>
      <c r="K420" s="115"/>
    </row>
    <row r="421" spans="3:11">
      <c r="C421" s="115"/>
      <c r="D421" s="115"/>
      <c r="E421" s="115"/>
      <c r="F421" s="115"/>
      <c r="G421" s="115"/>
      <c r="H421" s="115"/>
      <c r="I421" s="115"/>
      <c r="J421" s="115"/>
      <c r="K421" s="115"/>
    </row>
    <row r="422" spans="3:11">
      <c r="C422" s="115"/>
      <c r="D422" s="115"/>
      <c r="E422" s="115"/>
      <c r="F422" s="115"/>
      <c r="G422" s="115"/>
      <c r="H422" s="115"/>
      <c r="I422" s="115"/>
      <c r="J422" s="115"/>
      <c r="K422" s="115"/>
    </row>
    <row r="423" spans="3:11">
      <c r="C423" s="115"/>
      <c r="D423" s="115"/>
      <c r="E423" s="115"/>
      <c r="F423" s="115"/>
      <c r="G423" s="115"/>
      <c r="H423" s="115"/>
      <c r="I423" s="115"/>
      <c r="J423" s="115"/>
      <c r="K423" s="115"/>
    </row>
    <row r="424" spans="3:11">
      <c r="C424" s="115"/>
      <c r="D424" s="115"/>
      <c r="E424" s="115"/>
      <c r="F424" s="115"/>
      <c r="G424" s="115"/>
      <c r="H424" s="115"/>
      <c r="I424" s="115"/>
      <c r="J424" s="115"/>
      <c r="K424" s="115"/>
    </row>
    <row r="425" spans="3:11">
      <c r="C425" s="115"/>
      <c r="D425" s="115"/>
      <c r="E425" s="115"/>
      <c r="F425" s="115"/>
      <c r="G425" s="115"/>
      <c r="H425" s="115"/>
      <c r="I425" s="115"/>
      <c r="J425" s="115"/>
      <c r="K425" s="115"/>
    </row>
    <row r="426" spans="3:11">
      <c r="C426" s="115"/>
      <c r="D426" s="115"/>
      <c r="E426" s="115"/>
      <c r="F426" s="115"/>
      <c r="G426" s="115"/>
      <c r="H426" s="115"/>
      <c r="I426" s="115"/>
      <c r="J426" s="115"/>
      <c r="K426" s="115"/>
    </row>
    <row r="427" spans="3:11">
      <c r="C427" s="115"/>
      <c r="D427" s="115"/>
      <c r="E427" s="115"/>
      <c r="F427" s="115"/>
      <c r="G427" s="115"/>
      <c r="H427" s="115"/>
      <c r="I427" s="115"/>
      <c r="J427" s="115"/>
      <c r="K427" s="115"/>
    </row>
    <row r="428" spans="3:11">
      <c r="C428" s="115"/>
      <c r="D428" s="115"/>
      <c r="E428" s="115"/>
      <c r="F428" s="115"/>
      <c r="G428" s="115"/>
      <c r="H428" s="115"/>
      <c r="I428" s="115"/>
      <c r="J428" s="115"/>
      <c r="K428" s="115"/>
    </row>
    <row r="429" spans="3:11">
      <c r="C429" s="115"/>
      <c r="D429" s="115"/>
      <c r="E429" s="115"/>
      <c r="F429" s="115"/>
      <c r="G429" s="115"/>
      <c r="H429" s="115"/>
      <c r="I429" s="115"/>
      <c r="J429" s="115"/>
      <c r="K429" s="115"/>
    </row>
    <row r="430" spans="3:11">
      <c r="C430" s="115"/>
      <c r="D430" s="115"/>
      <c r="E430" s="115"/>
      <c r="F430" s="115"/>
      <c r="G430" s="115"/>
      <c r="H430" s="115"/>
      <c r="I430" s="115"/>
      <c r="J430" s="115"/>
      <c r="K430" s="115"/>
    </row>
    <row r="431" spans="3:11">
      <c r="C431" s="115"/>
      <c r="D431" s="115"/>
      <c r="E431" s="115"/>
      <c r="F431" s="115"/>
      <c r="G431" s="115"/>
      <c r="H431" s="115"/>
      <c r="I431" s="115"/>
      <c r="J431" s="115"/>
      <c r="K431" s="115"/>
    </row>
    <row r="432" spans="3:11">
      <c r="C432" s="115"/>
      <c r="D432" s="115"/>
      <c r="E432" s="115"/>
      <c r="F432" s="115"/>
      <c r="G432" s="115"/>
      <c r="H432" s="115"/>
      <c r="I432" s="115"/>
      <c r="J432" s="115"/>
      <c r="K432" s="115"/>
    </row>
    <row r="433" spans="3:11">
      <c r="C433" s="115"/>
      <c r="D433" s="115"/>
      <c r="E433" s="115"/>
      <c r="F433" s="115"/>
      <c r="G433" s="115"/>
      <c r="H433" s="115"/>
      <c r="I433" s="115"/>
      <c r="J433" s="115"/>
      <c r="K433" s="115"/>
    </row>
    <row r="434" spans="3:11">
      <c r="C434" s="115"/>
      <c r="D434" s="115"/>
      <c r="E434" s="115"/>
      <c r="F434" s="115"/>
      <c r="G434" s="115"/>
      <c r="H434" s="115"/>
      <c r="I434" s="115"/>
      <c r="J434" s="115"/>
      <c r="K434" s="115"/>
    </row>
    <row r="435" spans="3:11">
      <c r="C435" s="115"/>
      <c r="D435" s="115"/>
      <c r="E435" s="115"/>
      <c r="F435" s="115"/>
      <c r="G435" s="115"/>
      <c r="H435" s="115"/>
      <c r="I435" s="115"/>
      <c r="J435" s="115"/>
      <c r="K435" s="115"/>
    </row>
    <row r="436" spans="3:11">
      <c r="C436" s="115"/>
      <c r="D436" s="115"/>
      <c r="E436" s="115"/>
      <c r="F436" s="115"/>
      <c r="G436" s="115"/>
      <c r="H436" s="115"/>
      <c r="I436" s="115"/>
      <c r="J436" s="115"/>
      <c r="K436" s="115"/>
    </row>
    <row r="437" spans="3:11">
      <c r="C437" s="115"/>
      <c r="D437" s="115"/>
      <c r="E437" s="115"/>
      <c r="F437" s="115"/>
      <c r="G437" s="115"/>
      <c r="H437" s="115"/>
      <c r="I437" s="115"/>
      <c r="J437" s="115"/>
      <c r="K437" s="115"/>
    </row>
    <row r="438" spans="3:11">
      <c r="C438" s="115"/>
      <c r="D438" s="115"/>
      <c r="E438" s="115"/>
      <c r="F438" s="115"/>
      <c r="G438" s="115"/>
      <c r="H438" s="115"/>
      <c r="I438" s="115"/>
      <c r="J438" s="115"/>
      <c r="K438" s="115"/>
    </row>
    <row r="439" spans="3:11">
      <c r="C439" s="115"/>
      <c r="D439" s="115"/>
      <c r="E439" s="115"/>
      <c r="F439" s="115"/>
      <c r="G439" s="115"/>
      <c r="H439" s="115"/>
      <c r="I439" s="115"/>
      <c r="J439" s="115"/>
      <c r="K439" s="115"/>
    </row>
    <row r="440" spans="3:11">
      <c r="C440" s="115"/>
      <c r="D440" s="115"/>
      <c r="E440" s="115"/>
      <c r="F440" s="115"/>
      <c r="G440" s="115"/>
      <c r="H440" s="115"/>
      <c r="I440" s="115"/>
      <c r="J440" s="115"/>
      <c r="K440" s="115"/>
    </row>
    <row r="441" spans="3:11">
      <c r="C441" s="115"/>
      <c r="D441" s="115"/>
      <c r="E441" s="115"/>
      <c r="F441" s="115"/>
      <c r="G441" s="115"/>
      <c r="H441" s="115"/>
      <c r="I441" s="115"/>
      <c r="J441" s="115"/>
      <c r="K441" s="115"/>
    </row>
    <row r="442" spans="3:11">
      <c r="C442" s="115"/>
      <c r="D442" s="115"/>
      <c r="E442" s="115"/>
      <c r="F442" s="115"/>
      <c r="G442" s="115"/>
      <c r="H442" s="115"/>
      <c r="I442" s="115"/>
      <c r="J442" s="115"/>
      <c r="K442" s="115"/>
    </row>
    <row r="443" spans="3:11">
      <c r="C443" s="115"/>
      <c r="D443" s="115"/>
      <c r="E443" s="115"/>
      <c r="F443" s="115"/>
      <c r="G443" s="115"/>
      <c r="H443" s="115"/>
      <c r="I443" s="115"/>
      <c r="J443" s="115"/>
      <c r="K443" s="115"/>
    </row>
    <row r="444" spans="3:11">
      <c r="C444" s="115"/>
      <c r="D444" s="115"/>
      <c r="E444" s="115"/>
      <c r="F444" s="115"/>
      <c r="G444" s="115"/>
      <c r="H444" s="115"/>
      <c r="I444" s="115"/>
      <c r="J444" s="115"/>
      <c r="K444" s="115"/>
    </row>
    <row r="445" spans="3:11">
      <c r="C445" s="115"/>
      <c r="D445" s="115"/>
      <c r="E445" s="115"/>
      <c r="F445" s="115"/>
      <c r="G445" s="115"/>
      <c r="H445" s="115"/>
      <c r="I445" s="115"/>
      <c r="J445" s="115"/>
      <c r="K445" s="115"/>
    </row>
    <row r="446" spans="3:11">
      <c r="C446" s="115"/>
      <c r="D446" s="115"/>
      <c r="E446" s="115"/>
      <c r="F446" s="115"/>
      <c r="G446" s="115"/>
      <c r="H446" s="115"/>
      <c r="I446" s="115"/>
      <c r="J446" s="115"/>
      <c r="K446" s="115"/>
    </row>
    <row r="447" spans="3:11">
      <c r="C447" s="115"/>
      <c r="D447" s="115"/>
      <c r="E447" s="115"/>
      <c r="F447" s="115"/>
      <c r="G447" s="115"/>
      <c r="H447" s="115"/>
      <c r="I447" s="115"/>
      <c r="J447" s="115"/>
      <c r="K447" s="115"/>
    </row>
    <row r="448" spans="3:11">
      <c r="C448" s="115"/>
      <c r="D448" s="115"/>
      <c r="E448" s="115"/>
      <c r="F448" s="115"/>
      <c r="G448" s="115"/>
      <c r="H448" s="115"/>
      <c r="I448" s="115"/>
      <c r="J448" s="115"/>
      <c r="K448" s="115"/>
    </row>
    <row r="449" spans="3:11">
      <c r="C449" s="115"/>
      <c r="D449" s="115"/>
      <c r="E449" s="115"/>
      <c r="F449" s="115"/>
      <c r="G449" s="115"/>
      <c r="H449" s="115"/>
      <c r="I449" s="115"/>
      <c r="J449" s="115"/>
      <c r="K449" s="115"/>
    </row>
    <row r="450" spans="3:11">
      <c r="C450" s="115"/>
      <c r="D450" s="115"/>
      <c r="E450" s="115"/>
      <c r="F450" s="115"/>
      <c r="G450" s="115"/>
      <c r="H450" s="115"/>
      <c r="I450" s="115"/>
      <c r="J450" s="115"/>
      <c r="K450" s="115"/>
    </row>
    <row r="451" spans="3:11">
      <c r="C451" s="115"/>
      <c r="D451" s="115"/>
      <c r="E451" s="115"/>
      <c r="F451" s="115"/>
      <c r="G451" s="115"/>
      <c r="H451" s="115"/>
      <c r="I451" s="115"/>
      <c r="J451" s="115"/>
      <c r="K451" s="115"/>
    </row>
    <row r="452" spans="3:11">
      <c r="C452" s="115"/>
      <c r="D452" s="115"/>
      <c r="E452" s="115"/>
      <c r="F452" s="115"/>
      <c r="G452" s="115"/>
      <c r="H452" s="115"/>
      <c r="I452" s="115"/>
      <c r="J452" s="115"/>
      <c r="K452" s="115"/>
    </row>
    <row r="453" spans="3:11">
      <c r="C453" s="115"/>
      <c r="D453" s="115"/>
      <c r="E453" s="115"/>
      <c r="F453" s="115"/>
      <c r="G453" s="115"/>
      <c r="H453" s="115"/>
      <c r="I453" s="115"/>
      <c r="J453" s="115"/>
      <c r="K453" s="115"/>
    </row>
    <row r="454" spans="3:11">
      <c r="C454" s="115"/>
      <c r="D454" s="115"/>
      <c r="E454" s="115"/>
      <c r="F454" s="115"/>
      <c r="G454" s="115"/>
      <c r="H454" s="115"/>
      <c r="I454" s="115"/>
      <c r="J454" s="115"/>
      <c r="K454" s="115"/>
    </row>
    <row r="455" spans="3:11">
      <c r="C455" s="115"/>
      <c r="D455" s="115"/>
      <c r="E455" s="115"/>
      <c r="F455" s="115"/>
      <c r="G455" s="115"/>
      <c r="H455" s="115"/>
      <c r="I455" s="115"/>
      <c r="J455" s="115"/>
      <c r="K455" s="115"/>
    </row>
    <row r="456" spans="3:11">
      <c r="C456" s="115"/>
      <c r="D456" s="115"/>
      <c r="E456" s="115"/>
      <c r="F456" s="115"/>
      <c r="G456" s="115"/>
      <c r="H456" s="115"/>
      <c r="I456" s="115"/>
      <c r="J456" s="115"/>
      <c r="K456" s="115"/>
    </row>
    <row r="457" spans="3:11">
      <c r="C457" s="115"/>
      <c r="D457" s="115"/>
      <c r="E457" s="115"/>
      <c r="F457" s="115"/>
      <c r="G457" s="115"/>
      <c r="H457" s="115"/>
      <c r="I457" s="115"/>
      <c r="J457" s="115"/>
      <c r="K457" s="115"/>
    </row>
    <row r="458" spans="3:11">
      <c r="C458" s="115"/>
      <c r="D458" s="115"/>
      <c r="E458" s="115"/>
      <c r="F458" s="115"/>
      <c r="G458" s="115"/>
      <c r="H458" s="115"/>
      <c r="I458" s="115"/>
      <c r="J458" s="115"/>
      <c r="K458" s="115"/>
    </row>
    <row r="459" spans="3:11">
      <c r="C459" s="115"/>
      <c r="D459" s="115"/>
      <c r="E459" s="115"/>
      <c r="F459" s="115"/>
      <c r="G459" s="115"/>
      <c r="H459" s="115"/>
      <c r="I459" s="115"/>
      <c r="J459" s="115"/>
      <c r="K459" s="115"/>
    </row>
    <row r="460" spans="3:11">
      <c r="C460" s="115"/>
      <c r="D460" s="115"/>
      <c r="E460" s="115"/>
      <c r="F460" s="115"/>
      <c r="G460" s="115"/>
      <c r="H460" s="115"/>
      <c r="I460" s="115"/>
      <c r="J460" s="115"/>
      <c r="K460" s="115"/>
    </row>
    <row r="461" spans="3:11">
      <c r="C461" s="115"/>
      <c r="D461" s="115"/>
      <c r="E461" s="115"/>
      <c r="F461" s="115"/>
      <c r="G461" s="115"/>
      <c r="H461" s="115"/>
      <c r="I461" s="115"/>
      <c r="J461" s="115"/>
      <c r="K461" s="115"/>
    </row>
    <row r="462" spans="3:11">
      <c r="C462" s="115"/>
      <c r="D462" s="115"/>
      <c r="E462" s="115"/>
      <c r="F462" s="115"/>
      <c r="G462" s="115"/>
      <c r="H462" s="115"/>
      <c r="I462" s="115"/>
      <c r="J462" s="115"/>
      <c r="K462" s="115"/>
    </row>
    <row r="463" spans="3:11">
      <c r="C463" s="115"/>
      <c r="D463" s="115"/>
      <c r="E463" s="115"/>
      <c r="F463" s="115"/>
      <c r="G463" s="115"/>
      <c r="H463" s="115"/>
      <c r="I463" s="115"/>
      <c r="J463" s="115"/>
      <c r="K463" s="115"/>
    </row>
    <row r="464" spans="3:11">
      <c r="C464" s="115"/>
      <c r="D464" s="115"/>
      <c r="E464" s="115"/>
      <c r="F464" s="115"/>
      <c r="G464" s="115"/>
      <c r="H464" s="115"/>
      <c r="I464" s="115"/>
      <c r="J464" s="115"/>
      <c r="K464" s="115"/>
    </row>
    <row r="465" spans="3:11">
      <c r="C465" s="115"/>
      <c r="D465" s="115"/>
      <c r="E465" s="115"/>
      <c r="F465" s="115"/>
      <c r="G465" s="115"/>
      <c r="H465" s="115"/>
      <c r="I465" s="115"/>
      <c r="J465" s="115"/>
      <c r="K465" s="115"/>
    </row>
    <row r="466" spans="3:11">
      <c r="C466" s="115"/>
      <c r="D466" s="115"/>
      <c r="E466" s="115"/>
      <c r="F466" s="115"/>
      <c r="G466" s="115"/>
      <c r="H466" s="115"/>
      <c r="I466" s="115"/>
      <c r="J466" s="115"/>
      <c r="K466" s="115"/>
    </row>
    <row r="467" spans="3:11">
      <c r="C467" s="115"/>
      <c r="D467" s="115"/>
      <c r="E467" s="115"/>
      <c r="F467" s="115"/>
      <c r="G467" s="115"/>
      <c r="H467" s="115"/>
      <c r="I467" s="115"/>
      <c r="J467" s="115"/>
      <c r="K467" s="115"/>
    </row>
    <row r="468" spans="3:11">
      <c r="C468" s="115"/>
      <c r="D468" s="115"/>
      <c r="E468" s="115"/>
      <c r="F468" s="115"/>
      <c r="G468" s="115"/>
      <c r="H468" s="115"/>
      <c r="I468" s="115"/>
      <c r="J468" s="115"/>
      <c r="K468" s="115"/>
    </row>
    <row r="469" spans="3:11">
      <c r="C469" s="115"/>
      <c r="D469" s="115"/>
      <c r="E469" s="115"/>
      <c r="F469" s="115"/>
      <c r="G469" s="115"/>
      <c r="H469" s="115"/>
      <c r="I469" s="115"/>
      <c r="J469" s="115"/>
      <c r="K469" s="115"/>
    </row>
    <row r="470" spans="3:11">
      <c r="C470" s="115"/>
      <c r="D470" s="115"/>
      <c r="E470" s="115"/>
      <c r="F470" s="115"/>
      <c r="G470" s="115"/>
      <c r="H470" s="115"/>
      <c r="I470" s="115"/>
      <c r="J470" s="115"/>
      <c r="K470" s="115"/>
    </row>
    <row r="471" spans="3:11">
      <c r="C471" s="115"/>
      <c r="D471" s="115"/>
      <c r="E471" s="115"/>
      <c r="F471" s="115"/>
      <c r="G471" s="115"/>
      <c r="H471" s="115"/>
      <c r="I471" s="115"/>
      <c r="J471" s="115"/>
      <c r="K471" s="115"/>
    </row>
    <row r="472" spans="3:11">
      <c r="C472" s="115"/>
      <c r="D472" s="115"/>
      <c r="E472" s="115"/>
      <c r="F472" s="115"/>
      <c r="G472" s="115"/>
      <c r="H472" s="115"/>
      <c r="I472" s="115"/>
      <c r="J472" s="115"/>
      <c r="K472" s="115"/>
    </row>
    <row r="473" spans="3:11">
      <c r="C473" s="115"/>
      <c r="D473" s="115"/>
      <c r="E473" s="115"/>
      <c r="F473" s="115"/>
      <c r="G473" s="115"/>
      <c r="H473" s="115"/>
      <c r="I473" s="115"/>
      <c r="J473" s="115"/>
      <c r="K473" s="115"/>
    </row>
    <row r="474" spans="3:11">
      <c r="C474" s="115"/>
      <c r="D474" s="115"/>
      <c r="E474" s="115"/>
      <c r="F474" s="115"/>
      <c r="G474" s="115"/>
      <c r="H474" s="115"/>
      <c r="I474" s="115"/>
      <c r="J474" s="115"/>
      <c r="K474" s="115"/>
    </row>
    <row r="475" spans="3:11">
      <c r="C475" s="115"/>
      <c r="D475" s="115"/>
      <c r="E475" s="115"/>
      <c r="F475" s="115"/>
      <c r="G475" s="115"/>
      <c r="H475" s="115"/>
      <c r="I475" s="115"/>
      <c r="J475" s="115"/>
      <c r="K475" s="115"/>
    </row>
    <row r="476" spans="3:11">
      <c r="C476" s="115"/>
      <c r="D476" s="115"/>
      <c r="E476" s="115"/>
      <c r="F476" s="115"/>
      <c r="G476" s="115"/>
      <c r="H476" s="115"/>
      <c r="I476" s="115"/>
      <c r="J476" s="115"/>
      <c r="K476" s="115"/>
    </row>
    <row r="477" spans="3:11">
      <c r="C477" s="115"/>
      <c r="D477" s="115"/>
      <c r="E477" s="115"/>
      <c r="F477" s="115"/>
      <c r="G477" s="115"/>
      <c r="H477" s="115"/>
      <c r="I477" s="115"/>
      <c r="J477" s="115"/>
      <c r="K477" s="115"/>
    </row>
    <row r="478" spans="3:11">
      <c r="C478" s="115"/>
      <c r="D478" s="115"/>
      <c r="E478" s="115"/>
      <c r="F478" s="115"/>
      <c r="G478" s="115"/>
      <c r="H478" s="115"/>
      <c r="I478" s="115"/>
      <c r="J478" s="115"/>
      <c r="K478" s="115"/>
    </row>
    <row r="479" spans="3:11">
      <c r="C479" s="115"/>
      <c r="D479" s="115"/>
      <c r="E479" s="115"/>
      <c r="F479" s="115"/>
      <c r="G479" s="115"/>
      <c r="H479" s="115"/>
      <c r="I479" s="115"/>
      <c r="J479" s="115"/>
      <c r="K479" s="115"/>
    </row>
    <row r="480" spans="3:11">
      <c r="C480" s="115"/>
      <c r="D480" s="115"/>
      <c r="E480" s="115"/>
      <c r="F480" s="115"/>
      <c r="G480" s="115"/>
      <c r="H480" s="115"/>
      <c r="I480" s="115"/>
      <c r="J480" s="115"/>
      <c r="K480" s="115"/>
    </row>
    <row r="481" spans="3:11">
      <c r="C481" s="115"/>
      <c r="D481" s="115"/>
      <c r="E481" s="115"/>
      <c r="F481" s="115"/>
      <c r="G481" s="115"/>
      <c r="H481" s="115"/>
      <c r="I481" s="115"/>
      <c r="J481" s="115"/>
      <c r="K481" s="115"/>
    </row>
    <row r="482" spans="3:11">
      <c r="C482" s="115"/>
      <c r="D482" s="115"/>
      <c r="E482" s="115"/>
      <c r="F482" s="115"/>
      <c r="G482" s="115"/>
      <c r="H482" s="115"/>
      <c r="I482" s="115"/>
      <c r="J482" s="115"/>
      <c r="K482" s="115"/>
    </row>
    <row r="483" spans="3:11">
      <c r="C483" s="115"/>
      <c r="D483" s="115"/>
      <c r="E483" s="115"/>
      <c r="F483" s="115"/>
      <c r="G483" s="115"/>
      <c r="H483" s="115"/>
      <c r="I483" s="115"/>
      <c r="J483" s="115"/>
      <c r="K483" s="115"/>
    </row>
    <row r="484" spans="3:11">
      <c r="C484" s="115"/>
      <c r="D484" s="115"/>
      <c r="E484" s="115"/>
      <c r="F484" s="115"/>
      <c r="G484" s="115"/>
      <c r="H484" s="115"/>
      <c r="I484" s="115"/>
      <c r="J484" s="115"/>
      <c r="K484" s="115"/>
    </row>
    <row r="485" spans="3:11">
      <c r="C485" s="115"/>
      <c r="D485" s="115"/>
      <c r="E485" s="115"/>
      <c r="F485" s="115"/>
      <c r="G485" s="115"/>
      <c r="H485" s="115"/>
      <c r="I485" s="115"/>
      <c r="J485" s="115"/>
      <c r="K485" s="115"/>
    </row>
    <row r="486" spans="3:11">
      <c r="C486" s="115"/>
      <c r="D486" s="115"/>
      <c r="E486" s="115"/>
      <c r="F486" s="115"/>
      <c r="G486" s="115"/>
      <c r="H486" s="115"/>
      <c r="I486" s="115"/>
      <c r="J486" s="115"/>
      <c r="K486" s="115"/>
    </row>
    <row r="487" spans="3:11">
      <c r="C487" s="115"/>
      <c r="D487" s="115"/>
      <c r="E487" s="115"/>
      <c r="F487" s="115"/>
      <c r="G487" s="115"/>
      <c r="H487" s="115"/>
      <c r="I487" s="115"/>
      <c r="J487" s="115"/>
      <c r="K487" s="115"/>
    </row>
    <row r="488" spans="3:11">
      <c r="C488" s="115"/>
      <c r="D488" s="115"/>
      <c r="E488" s="115"/>
      <c r="F488" s="115"/>
      <c r="G488" s="115"/>
      <c r="H488" s="115"/>
      <c r="I488" s="115"/>
      <c r="J488" s="115"/>
      <c r="K488" s="115"/>
    </row>
    <row r="489" spans="3:11">
      <c r="C489" s="115"/>
      <c r="D489" s="115"/>
      <c r="E489" s="115"/>
      <c r="F489" s="115"/>
      <c r="G489" s="115"/>
      <c r="H489" s="115"/>
      <c r="I489" s="115"/>
      <c r="J489" s="115"/>
      <c r="K489" s="115"/>
    </row>
    <row r="490" spans="3:11">
      <c r="C490" s="115"/>
      <c r="D490" s="115"/>
      <c r="E490" s="115"/>
      <c r="F490" s="115"/>
      <c r="G490" s="115"/>
      <c r="H490" s="115"/>
      <c r="I490" s="115"/>
      <c r="J490" s="115"/>
      <c r="K490" s="115"/>
    </row>
    <row r="491" spans="3:11">
      <c r="C491" s="115"/>
      <c r="D491" s="115"/>
      <c r="E491" s="115"/>
      <c r="F491" s="115"/>
      <c r="G491" s="115"/>
      <c r="H491" s="115"/>
      <c r="I491" s="115"/>
      <c r="J491" s="115"/>
      <c r="K491" s="115"/>
    </row>
    <row r="492" spans="3:11">
      <c r="C492" s="115"/>
      <c r="D492" s="115"/>
      <c r="E492" s="115"/>
      <c r="F492" s="115"/>
      <c r="G492" s="115"/>
      <c r="H492" s="115"/>
      <c r="I492" s="115"/>
      <c r="J492" s="115"/>
      <c r="K492" s="115"/>
    </row>
    <row r="493" spans="3:11">
      <c r="C493" s="115"/>
      <c r="D493" s="115"/>
      <c r="E493" s="115"/>
      <c r="F493" s="115"/>
      <c r="G493" s="115"/>
      <c r="H493" s="115"/>
      <c r="I493" s="115"/>
      <c r="J493" s="115"/>
      <c r="K493" s="115"/>
    </row>
    <row r="494" spans="3:11">
      <c r="C494" s="115"/>
      <c r="D494" s="115"/>
      <c r="E494" s="115"/>
      <c r="F494" s="115"/>
      <c r="G494" s="115"/>
      <c r="H494" s="115"/>
      <c r="I494" s="115"/>
      <c r="J494" s="115"/>
      <c r="K494" s="115"/>
    </row>
    <row r="495" spans="3:11">
      <c r="C495" s="115"/>
      <c r="D495" s="115"/>
      <c r="E495" s="115"/>
      <c r="F495" s="115"/>
      <c r="G495" s="115"/>
      <c r="H495" s="115"/>
      <c r="I495" s="115"/>
      <c r="J495" s="115"/>
      <c r="K495" s="115"/>
    </row>
    <row r="496" spans="3:11">
      <c r="C496" s="115"/>
      <c r="D496" s="115"/>
      <c r="E496" s="115"/>
      <c r="F496" s="115"/>
      <c r="G496" s="115"/>
      <c r="H496" s="115"/>
      <c r="I496" s="115"/>
      <c r="J496" s="115"/>
      <c r="K496" s="115"/>
    </row>
    <row r="497" spans="3:11">
      <c r="C497" s="115"/>
      <c r="D497" s="115"/>
      <c r="E497" s="115"/>
      <c r="F497" s="115"/>
      <c r="G497" s="115"/>
      <c r="H497" s="115"/>
      <c r="I497" s="115"/>
      <c r="J497" s="115"/>
      <c r="K497" s="115"/>
    </row>
    <row r="498" spans="3:11">
      <c r="C498" s="115"/>
      <c r="D498" s="115"/>
      <c r="E498" s="115"/>
      <c r="F498" s="115"/>
      <c r="G498" s="115"/>
      <c r="H498" s="115"/>
    </row>
    <row r="499" spans="3:11">
      <c r="C499" s="115"/>
      <c r="D499" s="115"/>
      <c r="E499" s="115"/>
      <c r="F499" s="115"/>
      <c r="G499" s="115"/>
      <c r="H499" s="115"/>
    </row>
    <row r="500" spans="3:11">
      <c r="C500" s="115"/>
      <c r="D500" s="115"/>
      <c r="E500" s="115"/>
      <c r="F500" s="115"/>
      <c r="G500" s="115"/>
      <c r="H500" s="115"/>
    </row>
    <row r="501" spans="3:11">
      <c r="C501" s="115"/>
      <c r="D501" s="115"/>
      <c r="E501" s="115"/>
      <c r="F501" s="115"/>
      <c r="G501" s="115"/>
      <c r="H501" s="115"/>
    </row>
    <row r="502" spans="3:11">
      <c r="C502" s="115"/>
      <c r="D502" s="115"/>
      <c r="E502" s="115"/>
      <c r="F502" s="115"/>
      <c r="G502" s="115"/>
      <c r="H502" s="115"/>
    </row>
    <row r="503" spans="3:11">
      <c r="C503" s="115"/>
      <c r="D503" s="115"/>
      <c r="E503" s="115"/>
      <c r="F503" s="115"/>
      <c r="G503" s="115"/>
      <c r="H503" s="115"/>
    </row>
    <row r="504" spans="3:11">
      <c r="C504" s="115"/>
      <c r="D504" s="115"/>
      <c r="E504" s="115"/>
      <c r="F504" s="115"/>
      <c r="G504" s="115"/>
      <c r="H504" s="115"/>
    </row>
    <row r="505" spans="3:11">
      <c r="C505" s="115"/>
      <c r="D505" s="115"/>
      <c r="E505" s="115"/>
      <c r="F505" s="115"/>
      <c r="G505" s="115"/>
      <c r="H505" s="115"/>
    </row>
    <row r="506" spans="3:11">
      <c r="C506" s="115"/>
      <c r="D506" s="115"/>
      <c r="E506" s="115"/>
      <c r="F506" s="115"/>
      <c r="G506" s="115"/>
      <c r="H506" s="115"/>
    </row>
    <row r="507" spans="3:11">
      <c r="C507" s="115"/>
      <c r="D507" s="115"/>
      <c r="E507" s="115"/>
      <c r="F507" s="115"/>
      <c r="G507" s="115"/>
      <c r="H507" s="115"/>
    </row>
    <row r="508" spans="3:11">
      <c r="C508" s="115"/>
      <c r="D508" s="115"/>
      <c r="E508" s="115"/>
      <c r="F508" s="115"/>
      <c r="G508" s="115"/>
      <c r="H508" s="115"/>
    </row>
    <row r="509" spans="3:11">
      <c r="C509" s="115"/>
      <c r="D509" s="115"/>
      <c r="E509" s="115"/>
      <c r="F509" s="115"/>
      <c r="G509" s="115"/>
      <c r="H509" s="115"/>
    </row>
    <row r="510" spans="3:11">
      <c r="C510" s="115"/>
      <c r="D510" s="115"/>
      <c r="E510" s="115"/>
      <c r="F510" s="115"/>
      <c r="G510" s="115"/>
      <c r="H510" s="115"/>
    </row>
    <row r="511" spans="3:11">
      <c r="C511" s="115"/>
      <c r="D511" s="115"/>
      <c r="E511" s="115"/>
      <c r="F511" s="115"/>
      <c r="G511" s="115"/>
      <c r="H511" s="115"/>
    </row>
    <row r="512" spans="3:11">
      <c r="C512" s="115"/>
      <c r="D512" s="115"/>
      <c r="E512" s="115"/>
      <c r="F512" s="115"/>
      <c r="G512" s="115"/>
      <c r="H512" s="115"/>
    </row>
    <row r="513" spans="3:8">
      <c r="C513" s="115"/>
      <c r="D513" s="115"/>
      <c r="E513" s="115"/>
      <c r="F513" s="115"/>
      <c r="G513" s="115"/>
      <c r="H513" s="115"/>
    </row>
    <row r="514" spans="3:8">
      <c r="C514" s="115"/>
      <c r="D514" s="115"/>
      <c r="E514" s="115"/>
      <c r="F514" s="115"/>
      <c r="G514" s="115"/>
      <c r="H514" s="115"/>
    </row>
    <row r="515" spans="3:8">
      <c r="C515" s="115"/>
      <c r="D515" s="115"/>
      <c r="E515" s="115"/>
      <c r="F515" s="115"/>
      <c r="G515" s="115"/>
      <c r="H515" s="115"/>
    </row>
    <row r="516" spans="3:8">
      <c r="C516" s="115"/>
      <c r="D516" s="115"/>
      <c r="E516" s="115"/>
      <c r="F516" s="115"/>
      <c r="G516" s="115"/>
      <c r="H516" s="115"/>
    </row>
    <row r="517" spans="3:8">
      <c r="C517" s="115"/>
      <c r="D517" s="115"/>
      <c r="E517" s="115"/>
      <c r="F517" s="115"/>
      <c r="G517" s="115"/>
      <c r="H517" s="115"/>
    </row>
    <row r="518" spans="3:8">
      <c r="C518" s="115"/>
      <c r="D518" s="115"/>
      <c r="E518" s="115"/>
      <c r="F518" s="115"/>
      <c r="G518" s="115"/>
      <c r="H518" s="115"/>
    </row>
    <row r="519" spans="3:8">
      <c r="C519" s="115"/>
      <c r="D519" s="115"/>
      <c r="E519" s="115"/>
      <c r="F519" s="115"/>
      <c r="G519" s="115"/>
      <c r="H519" s="115"/>
    </row>
    <row r="520" spans="3:8">
      <c r="C520" s="115"/>
      <c r="D520" s="115"/>
      <c r="E520" s="115"/>
      <c r="F520" s="115"/>
      <c r="G520" s="115"/>
      <c r="H520" s="115"/>
    </row>
    <row r="521" spans="3:8">
      <c r="C521" s="115"/>
      <c r="D521" s="115"/>
      <c r="E521" s="115"/>
      <c r="F521" s="115"/>
      <c r="G521" s="115"/>
      <c r="H521" s="115"/>
    </row>
    <row r="522" spans="3:8">
      <c r="C522" s="115"/>
      <c r="D522" s="115"/>
      <c r="E522" s="115"/>
      <c r="F522" s="115"/>
      <c r="G522" s="115"/>
      <c r="H522" s="115"/>
    </row>
    <row r="523" spans="3:8">
      <c r="C523" s="115"/>
      <c r="D523" s="115"/>
      <c r="E523" s="115"/>
      <c r="F523" s="115"/>
      <c r="G523" s="115"/>
      <c r="H523" s="115"/>
    </row>
    <row r="524" spans="3:8">
      <c r="C524" s="115"/>
      <c r="D524" s="115"/>
      <c r="E524" s="115"/>
      <c r="F524" s="115"/>
      <c r="G524" s="115"/>
      <c r="H524" s="115"/>
    </row>
    <row r="525" spans="3:8">
      <c r="C525" s="115"/>
      <c r="D525" s="115"/>
      <c r="E525" s="115"/>
      <c r="F525" s="115"/>
      <c r="G525" s="115"/>
      <c r="H525" s="115"/>
    </row>
    <row r="526" spans="3:8">
      <c r="C526" s="115"/>
      <c r="D526" s="115"/>
      <c r="E526" s="115"/>
      <c r="F526" s="115"/>
      <c r="G526" s="115"/>
      <c r="H526" s="115"/>
    </row>
    <row r="527" spans="3:8">
      <c r="C527" s="115"/>
      <c r="D527" s="115"/>
      <c r="E527" s="115"/>
      <c r="F527" s="115"/>
      <c r="G527" s="115"/>
      <c r="H527" s="115"/>
    </row>
    <row r="528" spans="3:8">
      <c r="C528" s="115"/>
      <c r="D528" s="115"/>
      <c r="E528" s="115"/>
      <c r="F528" s="115"/>
      <c r="G528" s="115"/>
      <c r="H528" s="115"/>
    </row>
    <row r="529" spans="3:8">
      <c r="C529" s="115"/>
      <c r="D529" s="115"/>
      <c r="E529" s="115"/>
      <c r="F529" s="115"/>
      <c r="G529" s="115"/>
      <c r="H529" s="115"/>
    </row>
    <row r="530" spans="3:8">
      <c r="C530" s="115"/>
      <c r="D530" s="115"/>
      <c r="E530" s="115"/>
      <c r="F530" s="115"/>
      <c r="G530" s="115"/>
      <c r="H530" s="115"/>
    </row>
    <row r="531" spans="3:8">
      <c r="C531" s="115"/>
      <c r="D531" s="115"/>
      <c r="E531" s="115"/>
      <c r="F531" s="115"/>
      <c r="G531" s="115"/>
      <c r="H531" s="115"/>
    </row>
    <row r="532" spans="3:8">
      <c r="C532" s="115"/>
      <c r="D532" s="115"/>
      <c r="E532" s="115"/>
      <c r="F532" s="115"/>
      <c r="G532" s="115"/>
      <c r="H532" s="115"/>
    </row>
    <row r="533" spans="3:8">
      <c r="C533" s="115"/>
      <c r="D533" s="115"/>
      <c r="E533" s="115"/>
      <c r="F533" s="115"/>
      <c r="G533" s="115"/>
      <c r="H533" s="115"/>
    </row>
    <row r="534" spans="3:8">
      <c r="C534" s="115"/>
      <c r="D534" s="115"/>
      <c r="E534" s="115"/>
      <c r="F534" s="115"/>
      <c r="G534" s="115"/>
      <c r="H534" s="115"/>
    </row>
    <row r="535" spans="3:8">
      <c r="C535" s="115"/>
      <c r="D535" s="115"/>
      <c r="E535" s="115"/>
      <c r="F535" s="115"/>
      <c r="G535" s="115"/>
      <c r="H535" s="115"/>
    </row>
    <row r="536" spans="3:8">
      <c r="C536" s="115"/>
      <c r="D536" s="115"/>
      <c r="E536" s="115"/>
      <c r="F536" s="115"/>
      <c r="G536" s="115"/>
      <c r="H536" s="115"/>
    </row>
    <row r="537" spans="3:8">
      <c r="C537" s="115"/>
      <c r="D537" s="115"/>
      <c r="E537" s="115"/>
      <c r="F537" s="115"/>
      <c r="G537" s="115"/>
      <c r="H537" s="115"/>
    </row>
    <row r="538" spans="3:8">
      <c r="C538" s="115"/>
      <c r="D538" s="115"/>
      <c r="E538" s="115"/>
      <c r="F538" s="115"/>
      <c r="G538" s="115"/>
      <c r="H538" s="115"/>
    </row>
    <row r="539" spans="3:8">
      <c r="C539" s="115"/>
      <c r="D539" s="115"/>
      <c r="E539" s="115"/>
      <c r="F539" s="115"/>
      <c r="G539" s="115"/>
      <c r="H539" s="115"/>
    </row>
    <row r="540" spans="3:8">
      <c r="C540" s="115"/>
      <c r="D540" s="115"/>
      <c r="E540" s="115"/>
      <c r="F540" s="115"/>
      <c r="G540" s="115"/>
      <c r="H540" s="115"/>
    </row>
    <row r="541" spans="3:8">
      <c r="C541" s="115"/>
      <c r="D541" s="115"/>
      <c r="E541" s="115"/>
      <c r="F541" s="115"/>
      <c r="G541" s="115"/>
      <c r="H541" s="115"/>
    </row>
    <row r="542" spans="3:8">
      <c r="C542" s="115"/>
      <c r="D542" s="115"/>
      <c r="E542" s="115"/>
      <c r="F542" s="115"/>
      <c r="G542" s="115"/>
      <c r="H542" s="115"/>
    </row>
    <row r="543" spans="3:8">
      <c r="C543" s="115"/>
      <c r="D543" s="115"/>
      <c r="E543" s="115"/>
      <c r="F543" s="115"/>
      <c r="G543" s="115"/>
      <c r="H543" s="115"/>
    </row>
    <row r="544" spans="3:8">
      <c r="C544" s="115"/>
      <c r="D544" s="115"/>
      <c r="E544" s="115"/>
      <c r="F544" s="115"/>
      <c r="G544" s="115"/>
      <c r="H544" s="115"/>
    </row>
    <row r="545" spans="3:8">
      <c r="C545" s="115"/>
      <c r="D545" s="115"/>
      <c r="E545" s="115"/>
      <c r="F545" s="115"/>
      <c r="G545" s="115"/>
      <c r="H545" s="115"/>
    </row>
    <row r="546" spans="3:8">
      <c r="C546" s="115"/>
      <c r="D546" s="115"/>
      <c r="E546" s="115"/>
      <c r="F546" s="115"/>
      <c r="G546" s="115"/>
      <c r="H546" s="115"/>
    </row>
    <row r="547" spans="3:8">
      <c r="C547" s="115"/>
      <c r="D547" s="115"/>
      <c r="E547" s="115"/>
      <c r="F547" s="115"/>
      <c r="G547" s="115"/>
      <c r="H547" s="115"/>
    </row>
    <row r="548" spans="3:8">
      <c r="C548" s="115"/>
      <c r="D548" s="115"/>
      <c r="E548" s="115"/>
      <c r="F548" s="115"/>
      <c r="G548" s="115"/>
      <c r="H548" s="115"/>
    </row>
    <row r="549" spans="3:8">
      <c r="C549" s="115"/>
      <c r="D549" s="115"/>
      <c r="E549" s="115"/>
      <c r="F549" s="115"/>
      <c r="G549" s="115"/>
      <c r="H549" s="115"/>
    </row>
    <row r="550" spans="3:8">
      <c r="C550" s="115"/>
      <c r="D550" s="115"/>
      <c r="E550" s="115"/>
      <c r="F550" s="115"/>
      <c r="G550" s="115"/>
      <c r="H550" s="115"/>
    </row>
    <row r="551" spans="3:8">
      <c r="C551" s="115"/>
      <c r="D551" s="115"/>
      <c r="E551" s="115"/>
      <c r="F551" s="115"/>
      <c r="G551" s="115"/>
      <c r="H551" s="115"/>
    </row>
    <row r="552" spans="3:8">
      <c r="C552" s="115"/>
      <c r="D552" s="115"/>
      <c r="E552" s="115"/>
      <c r="F552" s="115"/>
      <c r="G552" s="115"/>
      <c r="H552" s="115"/>
    </row>
    <row r="553" spans="3:8">
      <c r="C553" s="115"/>
      <c r="D553" s="115"/>
      <c r="E553" s="115"/>
      <c r="F553" s="115"/>
      <c r="G553" s="115"/>
      <c r="H553" s="115"/>
    </row>
    <row r="554" spans="3:8">
      <c r="C554" s="115"/>
      <c r="D554" s="115"/>
      <c r="E554" s="115"/>
      <c r="F554" s="115"/>
      <c r="G554" s="115"/>
      <c r="H554" s="115"/>
    </row>
    <row r="555" spans="3:8">
      <c r="C555" s="115"/>
      <c r="D555" s="115"/>
      <c r="E555" s="115"/>
      <c r="F555" s="115"/>
      <c r="G555" s="115"/>
      <c r="H555" s="115"/>
    </row>
    <row r="556" spans="3:8">
      <c r="C556" s="115"/>
      <c r="D556" s="115"/>
      <c r="E556" s="115"/>
      <c r="F556" s="115"/>
      <c r="G556" s="115"/>
      <c r="H556" s="115"/>
    </row>
    <row r="557" spans="3:8">
      <c r="C557" s="115"/>
      <c r="D557" s="115"/>
      <c r="E557" s="115"/>
      <c r="F557" s="115"/>
      <c r="G557" s="115"/>
      <c r="H557" s="115"/>
    </row>
    <row r="558" spans="3:8">
      <c r="C558" s="115"/>
      <c r="D558" s="115"/>
      <c r="E558" s="115"/>
      <c r="F558" s="115"/>
      <c r="G558" s="115"/>
      <c r="H558" s="115"/>
    </row>
    <row r="559" spans="3:8">
      <c r="C559" s="115"/>
      <c r="D559" s="115"/>
      <c r="E559" s="115"/>
      <c r="F559" s="115"/>
      <c r="G559" s="115"/>
      <c r="H559" s="115"/>
    </row>
    <row r="560" spans="3:8">
      <c r="C560" s="115"/>
      <c r="D560" s="115"/>
      <c r="E560" s="115"/>
      <c r="F560" s="115"/>
      <c r="G560" s="115"/>
      <c r="H560" s="115"/>
    </row>
    <row r="561" spans="3:8">
      <c r="C561" s="115"/>
      <c r="D561" s="115"/>
      <c r="E561" s="115"/>
      <c r="F561" s="115"/>
      <c r="G561" s="115"/>
      <c r="H561" s="115"/>
    </row>
    <row r="562" spans="3:8">
      <c r="C562" s="115"/>
      <c r="D562" s="115"/>
      <c r="E562" s="115"/>
      <c r="F562" s="115"/>
      <c r="G562" s="115"/>
      <c r="H562" s="115"/>
    </row>
    <row r="563" spans="3:8">
      <c r="C563" s="115"/>
      <c r="D563" s="115"/>
      <c r="E563" s="115"/>
      <c r="F563" s="115"/>
      <c r="G563" s="115"/>
      <c r="H563" s="115"/>
    </row>
    <row r="564" spans="3:8">
      <c r="C564" s="115"/>
      <c r="D564" s="115"/>
      <c r="E564" s="115"/>
      <c r="F564" s="115"/>
      <c r="G564" s="115"/>
      <c r="H564" s="115"/>
    </row>
    <row r="565" spans="3:8">
      <c r="C565" s="115"/>
      <c r="D565" s="115"/>
      <c r="E565" s="115"/>
      <c r="F565" s="115"/>
      <c r="G565" s="115"/>
      <c r="H565" s="115"/>
    </row>
    <row r="566" spans="3:8">
      <c r="C566" s="115"/>
      <c r="D566" s="115"/>
      <c r="E566" s="115"/>
      <c r="F566" s="115"/>
      <c r="G566" s="115"/>
      <c r="H566" s="115"/>
    </row>
    <row r="567" spans="3:8">
      <c r="C567" s="115"/>
      <c r="D567" s="115"/>
      <c r="E567" s="115"/>
      <c r="F567" s="115"/>
      <c r="G567" s="115"/>
      <c r="H567" s="115"/>
    </row>
    <row r="568" spans="3:8">
      <c r="C568" s="115"/>
      <c r="D568" s="115"/>
      <c r="E568" s="115"/>
      <c r="F568" s="115"/>
      <c r="G568" s="115"/>
      <c r="H568" s="115"/>
    </row>
    <row r="569" spans="3:8">
      <c r="C569" s="115"/>
      <c r="D569" s="115"/>
      <c r="E569" s="115"/>
      <c r="F569" s="115"/>
      <c r="G569" s="115"/>
      <c r="H569" s="115"/>
    </row>
    <row r="570" spans="3:8">
      <c r="C570" s="115"/>
      <c r="D570" s="115"/>
      <c r="E570" s="115"/>
      <c r="F570" s="115"/>
      <c r="G570" s="115"/>
      <c r="H570" s="115"/>
    </row>
    <row r="571" spans="3:8">
      <c r="C571" s="115"/>
      <c r="D571" s="115"/>
      <c r="E571" s="115"/>
      <c r="F571" s="115"/>
      <c r="G571" s="115"/>
      <c r="H571" s="115"/>
    </row>
    <row r="572" spans="3:8">
      <c r="C572" s="115"/>
      <c r="D572" s="115"/>
      <c r="E572" s="115"/>
      <c r="F572" s="115"/>
      <c r="G572" s="115"/>
      <c r="H572" s="115"/>
    </row>
    <row r="573" spans="3:8">
      <c r="C573" s="115"/>
      <c r="D573" s="115"/>
      <c r="E573" s="115"/>
      <c r="F573" s="115"/>
      <c r="G573" s="115"/>
      <c r="H573" s="115"/>
    </row>
    <row r="574" spans="3:8">
      <c r="C574" s="115"/>
      <c r="D574" s="115"/>
      <c r="E574" s="115"/>
      <c r="F574" s="115"/>
      <c r="G574" s="115"/>
      <c r="H574" s="115"/>
    </row>
    <row r="575" spans="3:8">
      <c r="C575" s="115"/>
      <c r="D575" s="115"/>
      <c r="E575" s="115"/>
      <c r="F575" s="115"/>
      <c r="G575" s="115"/>
      <c r="H575" s="115"/>
    </row>
    <row r="576" spans="3:8">
      <c r="C576" s="115"/>
      <c r="D576" s="115"/>
      <c r="E576" s="115"/>
      <c r="F576" s="115"/>
      <c r="G576" s="115"/>
      <c r="H576" s="115"/>
    </row>
    <row r="577" spans="3:8">
      <c r="C577" s="115"/>
      <c r="D577" s="115"/>
      <c r="E577" s="115"/>
      <c r="F577" s="115"/>
      <c r="G577" s="115"/>
      <c r="H577" s="115"/>
    </row>
    <row r="578" spans="3:8">
      <c r="C578" s="115"/>
      <c r="D578" s="115"/>
      <c r="E578" s="115"/>
      <c r="F578" s="115"/>
      <c r="G578" s="115"/>
      <c r="H578" s="115"/>
    </row>
    <row r="579" spans="3:8">
      <c r="C579" s="115"/>
      <c r="D579" s="115"/>
      <c r="E579" s="115"/>
      <c r="F579" s="115"/>
      <c r="G579" s="115"/>
      <c r="H579" s="115"/>
    </row>
    <row r="580" spans="3:8">
      <c r="C580" s="115"/>
      <c r="D580" s="115"/>
      <c r="E580" s="115"/>
      <c r="F580" s="115"/>
      <c r="G580" s="115"/>
      <c r="H580" s="115"/>
    </row>
    <row r="581" spans="3:8">
      <c r="C581" s="115"/>
      <c r="D581" s="115"/>
      <c r="E581" s="115"/>
      <c r="F581" s="115"/>
      <c r="G581" s="115"/>
      <c r="H581" s="115"/>
    </row>
    <row r="582" spans="3:8">
      <c r="C582" s="115"/>
      <c r="D582" s="115"/>
      <c r="E582" s="115"/>
      <c r="F582" s="115"/>
      <c r="G582" s="115"/>
      <c r="H582" s="115"/>
    </row>
    <row r="583" spans="3:8">
      <c r="C583" s="115"/>
      <c r="D583" s="115"/>
      <c r="E583" s="115"/>
      <c r="F583" s="115"/>
      <c r="G583" s="115"/>
      <c r="H583" s="115"/>
    </row>
    <row r="584" spans="3:8">
      <c r="C584" s="115"/>
      <c r="D584" s="115"/>
      <c r="E584" s="115"/>
      <c r="F584" s="115"/>
      <c r="G584" s="115"/>
      <c r="H584" s="115"/>
    </row>
    <row r="585" spans="3:8">
      <c r="C585" s="115"/>
      <c r="D585" s="115"/>
      <c r="E585" s="115"/>
      <c r="F585" s="115"/>
      <c r="G585" s="115"/>
      <c r="H585" s="115"/>
    </row>
    <row r="586" spans="3:8">
      <c r="C586" s="115"/>
      <c r="D586" s="115"/>
      <c r="E586" s="115"/>
      <c r="F586" s="115"/>
      <c r="G586" s="115"/>
      <c r="H586" s="115"/>
    </row>
    <row r="587" spans="3:8">
      <c r="C587" s="115"/>
      <c r="D587" s="115"/>
      <c r="E587" s="115"/>
      <c r="F587" s="115"/>
      <c r="G587" s="115"/>
      <c r="H587" s="115"/>
    </row>
    <row r="588" spans="3:8">
      <c r="C588" s="115"/>
      <c r="D588" s="115"/>
      <c r="E588" s="115"/>
      <c r="F588" s="115"/>
      <c r="G588" s="115"/>
      <c r="H588" s="115"/>
    </row>
    <row r="589" spans="3:8">
      <c r="C589" s="115"/>
      <c r="D589" s="115"/>
      <c r="E589" s="115"/>
      <c r="F589" s="115"/>
      <c r="G589" s="115"/>
      <c r="H589" s="115"/>
    </row>
    <row r="590" spans="3:8">
      <c r="C590" s="115"/>
      <c r="D590" s="115"/>
      <c r="E590" s="115"/>
      <c r="F590" s="115"/>
      <c r="G590" s="115"/>
      <c r="H590" s="115"/>
    </row>
    <row r="591" spans="3:8">
      <c r="C591" s="115"/>
      <c r="D591" s="115"/>
      <c r="E591" s="115"/>
      <c r="F591" s="115"/>
      <c r="G591" s="115"/>
      <c r="H591" s="115"/>
    </row>
    <row r="592" spans="3:8">
      <c r="C592" s="115"/>
      <c r="D592" s="115"/>
      <c r="E592" s="115"/>
      <c r="F592" s="115"/>
      <c r="G592" s="115"/>
      <c r="H592" s="115"/>
    </row>
    <row r="593" spans="3:8">
      <c r="C593" s="115"/>
      <c r="D593" s="115"/>
      <c r="E593" s="115"/>
      <c r="F593" s="115"/>
      <c r="G593" s="115"/>
      <c r="H593" s="115"/>
    </row>
    <row r="594" spans="3:8">
      <c r="C594" s="115"/>
      <c r="D594" s="115"/>
      <c r="E594" s="115"/>
      <c r="F594" s="115"/>
      <c r="G594" s="115"/>
      <c r="H594" s="115"/>
    </row>
    <row r="595" spans="3:8">
      <c r="C595" s="115"/>
      <c r="D595" s="115"/>
      <c r="E595" s="115"/>
      <c r="F595" s="115"/>
      <c r="G595" s="115"/>
      <c r="H595" s="115"/>
    </row>
    <row r="596" spans="3:8">
      <c r="C596" s="115"/>
      <c r="D596" s="115"/>
      <c r="E596" s="115"/>
      <c r="F596" s="115"/>
      <c r="G596" s="115"/>
      <c r="H596" s="115"/>
    </row>
    <row r="597" spans="3:8">
      <c r="C597" s="115"/>
      <c r="D597" s="115"/>
      <c r="E597" s="115"/>
      <c r="F597" s="115"/>
      <c r="G597" s="115"/>
      <c r="H597" s="115"/>
    </row>
    <row r="598" spans="3:8">
      <c r="C598" s="115"/>
      <c r="D598" s="115"/>
      <c r="E598" s="115"/>
      <c r="F598" s="115"/>
      <c r="G598" s="115"/>
      <c r="H598" s="115"/>
    </row>
    <row r="599" spans="3:8">
      <c r="C599" s="115"/>
      <c r="D599" s="115"/>
      <c r="E599" s="115"/>
      <c r="F599" s="115"/>
      <c r="G599" s="115"/>
      <c r="H599" s="115"/>
    </row>
    <row r="600" spans="3:8">
      <c r="C600" s="115"/>
      <c r="D600" s="115"/>
      <c r="E600" s="115"/>
      <c r="F600" s="115"/>
      <c r="G600" s="115"/>
      <c r="H600" s="115"/>
    </row>
    <row r="601" spans="3:8">
      <c r="C601" s="115"/>
      <c r="D601" s="115"/>
      <c r="E601" s="115"/>
      <c r="F601" s="115"/>
      <c r="G601" s="115"/>
      <c r="H601" s="115"/>
    </row>
    <row r="602" spans="3:8">
      <c r="C602" s="115"/>
      <c r="D602" s="115"/>
      <c r="E602" s="115"/>
      <c r="F602" s="115"/>
      <c r="G602" s="115"/>
      <c r="H602" s="115"/>
    </row>
    <row r="603" spans="3:8">
      <c r="C603" s="115"/>
      <c r="D603" s="115"/>
      <c r="E603" s="115"/>
      <c r="F603" s="115"/>
      <c r="G603" s="115"/>
      <c r="H603" s="115"/>
    </row>
    <row r="604" spans="3:8">
      <c r="C604" s="115"/>
      <c r="D604" s="115"/>
      <c r="E604" s="115"/>
      <c r="F604" s="115"/>
      <c r="G604" s="115"/>
      <c r="H604" s="115"/>
    </row>
    <row r="605" spans="3:8">
      <c r="C605" s="115"/>
      <c r="D605" s="115"/>
      <c r="E605" s="115"/>
      <c r="F605" s="115"/>
      <c r="G605" s="115"/>
      <c r="H605" s="115"/>
    </row>
    <row r="606" spans="3:8">
      <c r="C606" s="115"/>
      <c r="D606" s="115"/>
      <c r="E606" s="115"/>
      <c r="F606" s="115"/>
      <c r="G606" s="115"/>
      <c r="H606" s="115"/>
    </row>
    <row r="607" spans="3:8">
      <c r="C607" s="115"/>
      <c r="D607" s="115"/>
      <c r="E607" s="115"/>
      <c r="F607" s="115"/>
      <c r="G607" s="115"/>
      <c r="H607" s="115"/>
    </row>
    <row r="608" spans="3:8">
      <c r="C608" s="115"/>
      <c r="D608" s="115"/>
      <c r="E608" s="115"/>
      <c r="F608" s="115"/>
      <c r="G608" s="115"/>
      <c r="H608" s="115"/>
    </row>
    <row r="609" spans="3:8">
      <c r="C609" s="115"/>
      <c r="D609" s="115"/>
      <c r="E609" s="115"/>
      <c r="F609" s="115"/>
      <c r="G609" s="115"/>
      <c r="H609" s="115"/>
    </row>
    <row r="610" spans="3:8">
      <c r="C610" s="115"/>
      <c r="D610" s="115"/>
      <c r="E610" s="115"/>
      <c r="F610" s="115"/>
      <c r="G610" s="115"/>
      <c r="H610" s="115"/>
    </row>
    <row r="611" spans="3:8">
      <c r="C611" s="115"/>
      <c r="D611" s="115"/>
      <c r="E611" s="115"/>
      <c r="F611" s="115"/>
      <c r="G611" s="115"/>
      <c r="H611" s="115"/>
    </row>
    <row r="612" spans="3:8">
      <c r="C612" s="115"/>
      <c r="D612" s="115"/>
      <c r="E612" s="115"/>
      <c r="F612" s="115"/>
      <c r="G612" s="115"/>
      <c r="H612" s="115"/>
    </row>
    <row r="613" spans="3:8">
      <c r="C613" s="115"/>
      <c r="D613" s="115"/>
      <c r="E613" s="115"/>
      <c r="F613" s="115"/>
      <c r="G613" s="115"/>
      <c r="H613" s="115"/>
    </row>
    <row r="614" spans="3:8">
      <c r="C614" s="115"/>
      <c r="D614" s="115"/>
      <c r="E614" s="115"/>
      <c r="F614" s="115"/>
      <c r="G614" s="115"/>
      <c r="H614" s="115"/>
    </row>
    <row r="615" spans="3:8">
      <c r="C615" s="115"/>
      <c r="D615" s="115"/>
      <c r="E615" s="115"/>
      <c r="F615" s="115"/>
      <c r="G615" s="115"/>
      <c r="H615" s="115"/>
    </row>
    <row r="616" spans="3:8">
      <c r="C616" s="115"/>
      <c r="D616" s="115"/>
      <c r="E616" s="115"/>
      <c r="F616" s="115"/>
      <c r="G616" s="115"/>
      <c r="H616" s="115"/>
    </row>
    <row r="617" spans="3:8">
      <c r="C617" s="115"/>
      <c r="D617" s="115"/>
      <c r="E617" s="115"/>
      <c r="F617" s="115"/>
      <c r="G617" s="115"/>
      <c r="H617" s="115"/>
    </row>
    <row r="618" spans="3:8">
      <c r="C618" s="115"/>
      <c r="D618" s="115"/>
      <c r="E618" s="115"/>
      <c r="F618" s="115"/>
      <c r="G618" s="115"/>
      <c r="H618" s="115"/>
    </row>
    <row r="619" spans="3:8">
      <c r="C619" s="115"/>
      <c r="D619" s="115"/>
      <c r="E619" s="115"/>
      <c r="F619" s="115"/>
      <c r="G619" s="115"/>
      <c r="H619" s="115"/>
    </row>
    <row r="620" spans="3:8">
      <c r="C620" s="115"/>
      <c r="D620" s="115"/>
      <c r="E620" s="115"/>
      <c r="F620" s="115"/>
      <c r="G620" s="115"/>
      <c r="H620" s="115"/>
    </row>
    <row r="621" spans="3:8">
      <c r="C621" s="115"/>
      <c r="D621" s="115"/>
      <c r="E621" s="115"/>
      <c r="F621" s="115"/>
      <c r="G621" s="115"/>
      <c r="H621" s="115"/>
    </row>
    <row r="622" spans="3:8">
      <c r="C622" s="115"/>
      <c r="D622" s="115"/>
      <c r="E622" s="115"/>
      <c r="F622" s="115"/>
      <c r="G622" s="115"/>
      <c r="H622" s="115"/>
    </row>
    <row r="623" spans="3:8">
      <c r="C623" s="115"/>
      <c r="D623" s="115"/>
      <c r="E623" s="115"/>
      <c r="F623" s="115"/>
      <c r="G623" s="115"/>
      <c r="H623" s="115"/>
    </row>
    <row r="624" spans="3:8">
      <c r="C624" s="115"/>
      <c r="D624" s="115"/>
      <c r="E624" s="115"/>
      <c r="F624" s="115"/>
      <c r="G624" s="115"/>
      <c r="H624" s="115"/>
    </row>
    <row r="625" spans="3:8">
      <c r="C625" s="115"/>
      <c r="D625" s="115"/>
      <c r="E625" s="115"/>
      <c r="F625" s="115"/>
      <c r="G625" s="115"/>
      <c r="H625" s="115"/>
    </row>
    <row r="626" spans="3:8">
      <c r="C626" s="115"/>
      <c r="D626" s="115"/>
      <c r="E626" s="115"/>
      <c r="F626" s="115"/>
      <c r="G626" s="115"/>
      <c r="H626" s="115"/>
    </row>
    <row r="627" spans="3:8">
      <c r="C627" s="115"/>
      <c r="D627" s="115"/>
      <c r="E627" s="115"/>
      <c r="F627" s="115"/>
      <c r="G627" s="115"/>
      <c r="H627" s="115"/>
    </row>
    <row r="628" spans="3:8">
      <c r="C628" s="115"/>
      <c r="D628" s="115"/>
      <c r="E628" s="115"/>
      <c r="F628" s="115"/>
      <c r="G628" s="115"/>
      <c r="H628" s="115"/>
    </row>
    <row r="629" spans="3:8">
      <c r="C629" s="115"/>
      <c r="D629" s="115"/>
      <c r="E629" s="115"/>
      <c r="F629" s="115"/>
      <c r="G629" s="115"/>
      <c r="H629" s="115"/>
    </row>
    <row r="630" spans="3:8">
      <c r="C630" s="115"/>
      <c r="D630" s="115"/>
      <c r="E630" s="115"/>
      <c r="F630" s="115"/>
      <c r="G630" s="115"/>
      <c r="H630" s="115"/>
    </row>
    <row r="631" spans="3:8">
      <c r="C631" s="115"/>
      <c r="D631" s="115"/>
      <c r="E631" s="115"/>
      <c r="F631" s="115"/>
      <c r="G631" s="115"/>
      <c r="H631" s="115"/>
    </row>
    <row r="632" spans="3:8">
      <c r="C632" s="115"/>
      <c r="D632" s="115"/>
      <c r="E632" s="115"/>
      <c r="F632" s="115"/>
      <c r="G632" s="115"/>
      <c r="H632" s="115"/>
    </row>
    <row r="633" spans="3:8">
      <c r="C633" s="115"/>
      <c r="D633" s="115"/>
      <c r="E633" s="115"/>
      <c r="F633" s="115"/>
      <c r="G633" s="115"/>
      <c r="H633" s="115"/>
    </row>
    <row r="634" spans="3:8">
      <c r="C634" s="115"/>
      <c r="D634" s="115"/>
      <c r="E634" s="115"/>
      <c r="F634" s="115"/>
      <c r="G634" s="115"/>
      <c r="H634" s="115"/>
    </row>
    <row r="635" spans="3:8">
      <c r="C635" s="115"/>
      <c r="D635" s="115"/>
      <c r="E635" s="115"/>
      <c r="F635" s="115"/>
      <c r="G635" s="115"/>
      <c r="H635" s="115"/>
    </row>
    <row r="636" spans="3:8">
      <c r="C636" s="115"/>
      <c r="D636" s="115"/>
      <c r="E636" s="115"/>
      <c r="F636" s="115"/>
      <c r="G636" s="115"/>
      <c r="H636" s="115"/>
    </row>
    <row r="637" spans="3:8">
      <c r="C637" s="115"/>
      <c r="D637" s="115"/>
      <c r="E637" s="115"/>
      <c r="F637" s="115"/>
      <c r="G637" s="115"/>
      <c r="H637" s="115"/>
    </row>
    <row r="638" spans="3:8">
      <c r="C638" s="115"/>
      <c r="D638" s="115"/>
      <c r="E638" s="115"/>
      <c r="F638" s="115"/>
      <c r="G638" s="115"/>
      <c r="H638" s="115"/>
    </row>
    <row r="639" spans="3:8">
      <c r="C639" s="115"/>
      <c r="D639" s="115"/>
      <c r="E639" s="115"/>
      <c r="F639" s="115"/>
      <c r="G639" s="115"/>
      <c r="H639" s="115"/>
    </row>
    <row r="640" spans="3:8">
      <c r="C640" s="115"/>
      <c r="D640" s="115"/>
      <c r="E640" s="115"/>
      <c r="F640" s="115"/>
      <c r="G640" s="115"/>
      <c r="H640" s="115"/>
    </row>
    <row r="641" spans="3:8">
      <c r="C641" s="115"/>
      <c r="D641" s="115"/>
      <c r="E641" s="115"/>
      <c r="F641" s="115"/>
      <c r="G641" s="115"/>
      <c r="H641" s="115"/>
    </row>
    <row r="642" spans="3:8">
      <c r="C642" s="115"/>
      <c r="D642" s="115"/>
      <c r="E642" s="115"/>
      <c r="F642" s="115"/>
      <c r="G642" s="115"/>
      <c r="H642" s="115"/>
    </row>
    <row r="643" spans="3:8">
      <c r="C643" s="115"/>
      <c r="D643" s="115"/>
      <c r="E643" s="115"/>
      <c r="F643" s="115"/>
      <c r="G643" s="115"/>
      <c r="H643" s="115"/>
    </row>
    <row r="644" spans="3:8">
      <c r="C644" s="115"/>
      <c r="D644" s="115"/>
      <c r="E644" s="115"/>
      <c r="F644" s="115"/>
      <c r="G644" s="115"/>
      <c r="H644" s="115"/>
    </row>
    <row r="645" spans="3:8">
      <c r="C645" s="115"/>
      <c r="D645" s="115"/>
      <c r="E645" s="115"/>
      <c r="F645" s="115"/>
      <c r="G645" s="115"/>
      <c r="H645" s="115"/>
    </row>
    <row r="646" spans="3:8">
      <c r="C646" s="115"/>
      <c r="D646" s="115"/>
      <c r="E646" s="115"/>
      <c r="F646" s="115"/>
      <c r="G646" s="115"/>
      <c r="H646" s="115"/>
    </row>
    <row r="647" spans="3:8">
      <c r="C647" s="115"/>
      <c r="D647" s="115"/>
      <c r="E647" s="115"/>
      <c r="F647" s="115"/>
      <c r="G647" s="115"/>
      <c r="H647" s="115"/>
    </row>
    <row r="648" spans="3:8">
      <c r="C648" s="115"/>
      <c r="D648" s="115"/>
      <c r="E648" s="115"/>
      <c r="F648" s="115"/>
      <c r="G648" s="115"/>
      <c r="H648" s="115"/>
    </row>
    <row r="649" spans="3:8">
      <c r="C649" s="115"/>
      <c r="D649" s="115"/>
      <c r="E649" s="115"/>
      <c r="F649" s="115"/>
      <c r="G649" s="115"/>
      <c r="H649" s="115"/>
    </row>
    <row r="650" spans="3:8">
      <c r="C650" s="115"/>
      <c r="D650" s="115"/>
      <c r="E650" s="115"/>
      <c r="F650" s="115"/>
      <c r="G650" s="115"/>
      <c r="H650" s="115"/>
    </row>
    <row r="651" spans="3:8">
      <c r="C651" s="115"/>
      <c r="D651" s="115"/>
      <c r="E651" s="115"/>
      <c r="F651" s="115"/>
      <c r="G651" s="115"/>
      <c r="H651" s="115"/>
    </row>
    <row r="652" spans="3:8">
      <c r="C652" s="115"/>
      <c r="D652" s="115"/>
      <c r="E652" s="115"/>
      <c r="F652" s="115"/>
      <c r="G652" s="115"/>
      <c r="H652" s="115"/>
    </row>
    <row r="653" spans="3:8">
      <c r="C653" s="115"/>
      <c r="D653" s="115"/>
      <c r="E653" s="115"/>
      <c r="F653" s="115"/>
      <c r="G653" s="115"/>
      <c r="H653" s="115"/>
    </row>
    <row r="654" spans="3:8">
      <c r="C654" s="115"/>
      <c r="D654" s="115"/>
      <c r="E654" s="115"/>
      <c r="F654" s="115"/>
      <c r="G654" s="115"/>
      <c r="H654" s="115"/>
    </row>
    <row r="655" spans="3:8">
      <c r="C655" s="115"/>
      <c r="D655" s="115"/>
      <c r="E655" s="115"/>
      <c r="F655" s="115"/>
      <c r="G655" s="115"/>
      <c r="H655" s="115"/>
    </row>
    <row r="656" spans="3:8">
      <c r="C656" s="115"/>
      <c r="D656" s="115"/>
      <c r="E656" s="115"/>
      <c r="F656" s="115"/>
      <c r="G656" s="115"/>
      <c r="H656" s="115"/>
    </row>
    <row r="657" spans="3:8">
      <c r="C657" s="115"/>
      <c r="D657" s="115"/>
      <c r="E657" s="115"/>
      <c r="F657" s="115"/>
      <c r="G657" s="115"/>
      <c r="H657" s="115"/>
    </row>
    <row r="658" spans="3:8">
      <c r="C658" s="115"/>
      <c r="D658" s="115"/>
      <c r="E658" s="115"/>
      <c r="F658" s="115"/>
      <c r="G658" s="115"/>
      <c r="H658" s="115"/>
    </row>
    <row r="659" spans="3:8">
      <c r="C659" s="115"/>
      <c r="D659" s="115"/>
      <c r="E659" s="115"/>
      <c r="F659" s="115"/>
      <c r="G659" s="115"/>
      <c r="H659" s="115"/>
    </row>
    <row r="660" spans="3:8">
      <c r="C660" s="115"/>
      <c r="D660" s="115"/>
      <c r="E660" s="115"/>
      <c r="F660" s="115"/>
      <c r="G660" s="115"/>
      <c r="H660" s="115"/>
    </row>
    <row r="661" spans="3:8">
      <c r="C661" s="115"/>
      <c r="D661" s="115"/>
      <c r="E661" s="115"/>
      <c r="F661" s="115"/>
      <c r="G661" s="115"/>
      <c r="H661" s="115"/>
    </row>
    <row r="662" spans="3:8">
      <c r="C662" s="115"/>
      <c r="D662" s="115"/>
      <c r="E662" s="115"/>
      <c r="F662" s="115"/>
      <c r="G662" s="115"/>
      <c r="H662" s="115"/>
    </row>
    <row r="663" spans="3:8">
      <c r="C663" s="115"/>
      <c r="D663" s="115"/>
      <c r="E663" s="115"/>
      <c r="F663" s="115"/>
      <c r="G663" s="115"/>
      <c r="H663" s="115"/>
    </row>
    <row r="664" spans="3:8">
      <c r="C664" s="115"/>
      <c r="D664" s="115"/>
      <c r="E664" s="115"/>
      <c r="F664" s="115"/>
      <c r="G664" s="115"/>
      <c r="H664" s="115"/>
    </row>
    <row r="665" spans="3:8">
      <c r="C665" s="115"/>
      <c r="D665" s="115"/>
      <c r="E665" s="115"/>
      <c r="F665" s="115"/>
      <c r="G665" s="115"/>
      <c r="H665" s="115"/>
    </row>
    <row r="666" spans="3:8">
      <c r="C666" s="115"/>
      <c r="D666" s="115"/>
      <c r="E666" s="115"/>
      <c r="F666" s="115"/>
      <c r="G666" s="115"/>
      <c r="H666" s="115"/>
    </row>
    <row r="667" spans="3:8">
      <c r="C667" s="115"/>
      <c r="D667" s="115"/>
      <c r="E667" s="115"/>
      <c r="F667" s="115"/>
      <c r="G667" s="115"/>
      <c r="H667" s="115"/>
    </row>
    <row r="668" spans="3:8">
      <c r="C668" s="115"/>
      <c r="D668" s="115"/>
      <c r="E668" s="115"/>
      <c r="F668" s="115"/>
      <c r="G668" s="115"/>
      <c r="H668" s="115"/>
    </row>
    <row r="669" spans="3:8">
      <c r="C669" s="115"/>
      <c r="D669" s="115"/>
      <c r="E669" s="115"/>
      <c r="F669" s="115"/>
      <c r="G669" s="115"/>
      <c r="H669" s="115"/>
    </row>
    <row r="670" spans="3:8">
      <c r="C670" s="115"/>
      <c r="D670" s="115"/>
      <c r="E670" s="115"/>
      <c r="F670" s="115"/>
      <c r="G670" s="115"/>
      <c r="H670" s="115"/>
    </row>
    <row r="671" spans="3:8">
      <c r="C671" s="115"/>
      <c r="D671" s="115"/>
      <c r="E671" s="115"/>
      <c r="F671" s="115"/>
      <c r="G671" s="115"/>
      <c r="H671" s="115"/>
    </row>
    <row r="672" spans="3:8">
      <c r="C672" s="115"/>
      <c r="D672" s="115"/>
      <c r="E672" s="115"/>
      <c r="F672" s="115"/>
      <c r="G672" s="115"/>
      <c r="H672" s="115"/>
    </row>
    <row r="673" spans="3:8">
      <c r="C673" s="115"/>
      <c r="D673" s="115"/>
      <c r="E673" s="115"/>
      <c r="F673" s="115"/>
      <c r="G673" s="115"/>
      <c r="H673" s="115"/>
    </row>
    <row r="674" spans="3:8">
      <c r="C674" s="115"/>
      <c r="D674" s="115"/>
      <c r="E674" s="115"/>
      <c r="F674" s="115"/>
      <c r="G674" s="115"/>
      <c r="H674" s="115"/>
    </row>
    <row r="675" spans="3:8">
      <c r="C675" s="115"/>
      <c r="D675" s="115"/>
      <c r="E675" s="115"/>
      <c r="F675" s="115"/>
      <c r="G675" s="115"/>
      <c r="H675" s="115"/>
    </row>
    <row r="676" spans="3:8">
      <c r="C676" s="115"/>
      <c r="D676" s="115"/>
      <c r="E676" s="115"/>
      <c r="F676" s="115"/>
      <c r="G676" s="115"/>
      <c r="H676" s="115"/>
    </row>
    <row r="677" spans="3:8">
      <c r="C677" s="115"/>
      <c r="D677" s="115"/>
      <c r="E677" s="115"/>
      <c r="F677" s="115"/>
      <c r="G677" s="115"/>
      <c r="H677" s="115"/>
    </row>
    <row r="678" spans="3:8">
      <c r="C678" s="115"/>
      <c r="D678" s="115"/>
      <c r="E678" s="115"/>
      <c r="F678" s="115"/>
      <c r="G678" s="115"/>
      <c r="H678" s="115"/>
    </row>
    <row r="679" spans="3:8">
      <c r="C679" s="115"/>
      <c r="D679" s="115"/>
      <c r="E679" s="115"/>
      <c r="F679" s="115"/>
      <c r="G679" s="115"/>
      <c r="H679" s="115"/>
    </row>
    <row r="680" spans="3:8">
      <c r="C680" s="115"/>
      <c r="D680" s="115"/>
      <c r="E680" s="115"/>
      <c r="F680" s="115"/>
      <c r="G680" s="115"/>
      <c r="H680" s="115"/>
    </row>
    <row r="681" spans="3:8">
      <c r="C681" s="115"/>
      <c r="D681" s="115"/>
      <c r="E681" s="115"/>
      <c r="F681" s="115"/>
      <c r="G681" s="115"/>
      <c r="H681" s="115"/>
    </row>
    <row r="682" spans="3:8">
      <c r="C682" s="115"/>
      <c r="D682" s="115"/>
      <c r="E682" s="115"/>
      <c r="F682" s="115"/>
      <c r="G682" s="115"/>
      <c r="H682" s="115"/>
    </row>
    <row r="683" spans="3:8">
      <c r="C683" s="115"/>
      <c r="D683" s="115"/>
      <c r="E683" s="115"/>
      <c r="F683" s="115"/>
      <c r="G683" s="115"/>
      <c r="H683" s="115"/>
    </row>
    <row r="684" spans="3:8">
      <c r="C684" s="115"/>
      <c r="D684" s="115"/>
      <c r="E684" s="115"/>
      <c r="F684" s="115"/>
      <c r="G684" s="115"/>
      <c r="H684" s="115"/>
    </row>
    <row r="685" spans="3:8">
      <c r="C685" s="115"/>
      <c r="D685" s="115"/>
      <c r="E685" s="115"/>
      <c r="F685" s="115"/>
      <c r="G685" s="115"/>
      <c r="H685" s="115"/>
    </row>
    <row r="686" spans="3:8">
      <c r="C686" s="115"/>
      <c r="D686" s="115"/>
      <c r="E686" s="115"/>
      <c r="F686" s="115"/>
      <c r="G686" s="115"/>
      <c r="H686" s="115"/>
    </row>
    <row r="687" spans="3:8">
      <c r="C687" s="115"/>
      <c r="D687" s="115"/>
      <c r="E687" s="115"/>
      <c r="F687" s="115"/>
      <c r="G687" s="115"/>
      <c r="H687" s="115"/>
    </row>
    <row r="688" spans="3:8">
      <c r="C688" s="115"/>
      <c r="D688" s="115"/>
      <c r="E688" s="115"/>
      <c r="F688" s="115"/>
      <c r="G688" s="115"/>
      <c r="H688" s="115"/>
    </row>
    <row r="689" spans="3:8">
      <c r="C689" s="115"/>
      <c r="D689" s="115"/>
      <c r="E689" s="115"/>
      <c r="F689" s="115"/>
      <c r="G689" s="115"/>
      <c r="H689" s="115"/>
    </row>
    <row r="690" spans="3:8">
      <c r="C690" s="115"/>
      <c r="D690" s="115"/>
      <c r="E690" s="115"/>
      <c r="F690" s="115"/>
      <c r="G690" s="115"/>
      <c r="H690" s="115"/>
    </row>
    <row r="691" spans="3:8">
      <c r="C691" s="115"/>
      <c r="D691" s="115"/>
      <c r="E691" s="115"/>
      <c r="F691" s="115"/>
      <c r="G691" s="115"/>
      <c r="H691" s="115"/>
    </row>
    <row r="692" spans="3:8">
      <c r="C692" s="115"/>
      <c r="D692" s="115"/>
      <c r="E692" s="115"/>
      <c r="F692" s="115"/>
      <c r="G692" s="115"/>
      <c r="H692" s="115"/>
    </row>
    <row r="693" spans="3:8">
      <c r="C693" s="115"/>
      <c r="D693" s="115"/>
      <c r="E693" s="115"/>
      <c r="F693" s="115"/>
      <c r="G693" s="115"/>
      <c r="H693" s="115"/>
    </row>
    <row r="694" spans="3:8">
      <c r="C694" s="115"/>
      <c r="D694" s="115"/>
      <c r="E694" s="115"/>
      <c r="F694" s="115"/>
      <c r="G694" s="115"/>
      <c r="H694" s="115"/>
    </row>
    <row r="695" spans="3:8">
      <c r="C695" s="115"/>
      <c r="D695" s="115"/>
      <c r="E695" s="115"/>
      <c r="F695" s="115"/>
      <c r="G695" s="115"/>
      <c r="H695" s="115"/>
    </row>
    <row r="696" spans="3:8">
      <c r="C696" s="115"/>
      <c r="D696" s="115"/>
      <c r="E696" s="115"/>
      <c r="F696" s="115"/>
      <c r="G696" s="115"/>
      <c r="H696" s="115"/>
    </row>
    <row r="697" spans="3:8">
      <c r="C697" s="115"/>
      <c r="D697" s="115"/>
      <c r="E697" s="115"/>
      <c r="F697" s="115"/>
      <c r="G697" s="115"/>
      <c r="H697" s="115"/>
    </row>
    <row r="698" spans="3:8">
      <c r="C698" s="115"/>
      <c r="D698" s="115"/>
      <c r="E698" s="115"/>
      <c r="F698" s="115"/>
      <c r="G698" s="115"/>
      <c r="H698" s="115"/>
    </row>
    <row r="699" spans="3:8">
      <c r="C699" s="115"/>
      <c r="D699" s="115"/>
      <c r="E699" s="115"/>
      <c r="F699" s="115"/>
      <c r="G699" s="115"/>
      <c r="H699" s="115"/>
    </row>
    <row r="700" spans="3:8">
      <c r="C700" s="115"/>
      <c r="D700" s="115"/>
      <c r="E700" s="115"/>
      <c r="F700" s="115"/>
      <c r="G700" s="115"/>
      <c r="H700" s="115"/>
    </row>
    <row r="701" spans="3:8">
      <c r="C701" s="115"/>
      <c r="D701" s="115"/>
      <c r="E701" s="115"/>
      <c r="F701" s="115"/>
      <c r="G701" s="115"/>
      <c r="H701" s="115"/>
    </row>
    <row r="702" spans="3:8">
      <c r="C702" s="115"/>
      <c r="D702" s="115"/>
      <c r="E702" s="115"/>
      <c r="F702" s="115"/>
      <c r="G702" s="115"/>
      <c r="H702" s="115"/>
    </row>
    <row r="703" spans="3:8">
      <c r="C703" s="115"/>
      <c r="D703" s="115"/>
      <c r="E703" s="115"/>
      <c r="F703" s="115"/>
      <c r="G703" s="115"/>
      <c r="H703" s="115"/>
    </row>
    <row r="704" spans="3:8">
      <c r="C704" s="115"/>
      <c r="D704" s="115"/>
      <c r="E704" s="115"/>
      <c r="F704" s="115"/>
      <c r="G704" s="115"/>
      <c r="H704" s="115"/>
    </row>
    <row r="705" spans="3:8">
      <c r="C705" s="115"/>
      <c r="D705" s="115"/>
      <c r="E705" s="115"/>
      <c r="F705" s="115"/>
      <c r="G705" s="115"/>
      <c r="H705" s="115"/>
    </row>
    <row r="706" spans="3:8">
      <c r="C706" s="115"/>
      <c r="D706" s="115"/>
      <c r="E706" s="115"/>
      <c r="F706" s="115"/>
      <c r="G706" s="115"/>
      <c r="H706" s="115"/>
    </row>
    <row r="707" spans="3:8">
      <c r="C707" s="115"/>
      <c r="D707" s="115"/>
      <c r="E707" s="115"/>
      <c r="F707" s="115"/>
      <c r="G707" s="115"/>
      <c r="H707" s="115"/>
    </row>
    <row r="708" spans="3:8">
      <c r="C708" s="115"/>
      <c r="D708" s="115"/>
      <c r="E708" s="115"/>
      <c r="F708" s="115"/>
      <c r="G708" s="115"/>
      <c r="H708" s="115"/>
    </row>
    <row r="709" spans="3:8">
      <c r="C709" s="115"/>
      <c r="D709" s="115"/>
      <c r="E709" s="115"/>
      <c r="F709" s="115"/>
      <c r="G709" s="115"/>
      <c r="H709" s="115"/>
    </row>
    <row r="710" spans="3:8">
      <c r="C710" s="115"/>
      <c r="D710" s="115"/>
      <c r="E710" s="115"/>
      <c r="F710" s="115"/>
      <c r="G710" s="115"/>
      <c r="H710" s="115"/>
    </row>
    <row r="711" spans="3:8">
      <c r="C711" s="115"/>
      <c r="D711" s="115"/>
      <c r="E711" s="115"/>
      <c r="F711" s="115"/>
      <c r="G711" s="115"/>
      <c r="H711" s="115"/>
    </row>
    <row r="712" spans="3:8">
      <c r="C712" s="115"/>
      <c r="D712" s="115"/>
      <c r="E712" s="115"/>
      <c r="F712" s="115"/>
      <c r="G712" s="115"/>
      <c r="H712" s="115"/>
    </row>
    <row r="713" spans="3:8">
      <c r="C713" s="115"/>
      <c r="D713" s="115"/>
      <c r="E713" s="115"/>
      <c r="F713" s="115"/>
      <c r="G713" s="115"/>
      <c r="H713" s="115"/>
    </row>
    <row r="714" spans="3:8">
      <c r="C714" s="115"/>
      <c r="D714" s="115"/>
      <c r="E714" s="115"/>
      <c r="F714" s="115"/>
      <c r="G714" s="115"/>
      <c r="H714" s="115"/>
    </row>
    <row r="715" spans="3:8">
      <c r="C715" s="115"/>
      <c r="D715" s="115"/>
      <c r="E715" s="115"/>
      <c r="F715" s="115"/>
      <c r="G715" s="115"/>
      <c r="H715" s="115"/>
    </row>
    <row r="716" spans="3:8">
      <c r="C716" s="115"/>
      <c r="D716" s="115"/>
      <c r="E716" s="115"/>
      <c r="F716" s="115"/>
      <c r="G716" s="115"/>
      <c r="H716" s="115"/>
    </row>
    <row r="717" spans="3:8">
      <c r="C717" s="115"/>
      <c r="D717" s="115"/>
      <c r="E717" s="115"/>
      <c r="F717" s="115"/>
      <c r="G717" s="115"/>
      <c r="H717" s="115"/>
    </row>
    <row r="718" spans="3:8">
      <c r="C718" s="115"/>
      <c r="D718" s="115"/>
      <c r="E718" s="115"/>
      <c r="F718" s="115"/>
      <c r="G718" s="115"/>
      <c r="H718" s="115"/>
    </row>
    <row r="719" spans="3:8">
      <c r="C719" s="115"/>
      <c r="D719" s="115"/>
      <c r="E719" s="115"/>
      <c r="F719" s="115"/>
      <c r="G719" s="115"/>
      <c r="H719" s="115"/>
    </row>
    <row r="720" spans="3:8">
      <c r="C720" s="115"/>
      <c r="D720" s="115"/>
      <c r="E720" s="115"/>
      <c r="F720" s="115"/>
      <c r="G720" s="115"/>
      <c r="H720" s="115"/>
    </row>
    <row r="721" spans="3:8">
      <c r="C721" s="115"/>
      <c r="D721" s="115"/>
      <c r="E721" s="115"/>
      <c r="F721" s="115"/>
      <c r="G721" s="115"/>
      <c r="H721" s="115"/>
    </row>
    <row r="722" spans="3:8">
      <c r="C722" s="115"/>
      <c r="D722" s="115"/>
      <c r="E722" s="115"/>
      <c r="F722" s="115"/>
      <c r="G722" s="115"/>
      <c r="H722" s="115"/>
    </row>
    <row r="723" spans="3:8">
      <c r="C723" s="115"/>
      <c r="D723" s="115"/>
      <c r="E723" s="115"/>
      <c r="F723" s="115"/>
      <c r="G723" s="115"/>
      <c r="H723" s="115"/>
    </row>
    <row r="724" spans="3:8">
      <c r="C724" s="115"/>
      <c r="D724" s="115"/>
      <c r="E724" s="115"/>
      <c r="F724" s="115"/>
      <c r="G724" s="115"/>
      <c r="H724" s="115"/>
    </row>
    <row r="725" spans="3:8">
      <c r="C725" s="115"/>
      <c r="D725" s="115"/>
      <c r="E725" s="115"/>
      <c r="F725" s="115"/>
      <c r="G725" s="115"/>
      <c r="H725" s="115"/>
    </row>
    <row r="726" spans="3:8">
      <c r="C726" s="115"/>
      <c r="D726" s="115"/>
      <c r="E726" s="115"/>
      <c r="F726" s="115"/>
      <c r="G726" s="115"/>
      <c r="H726" s="115"/>
    </row>
    <row r="727" spans="3:8">
      <c r="C727" s="115"/>
      <c r="D727" s="115"/>
      <c r="E727" s="115"/>
      <c r="F727" s="115"/>
      <c r="G727" s="115"/>
      <c r="H727" s="115"/>
    </row>
    <row r="728" spans="3:8">
      <c r="C728" s="115"/>
      <c r="D728" s="115"/>
      <c r="E728" s="115"/>
      <c r="F728" s="115"/>
      <c r="G728" s="115"/>
      <c r="H728" s="115"/>
    </row>
    <row r="729" spans="3:8">
      <c r="C729" s="115"/>
      <c r="D729" s="115"/>
      <c r="E729" s="115"/>
      <c r="F729" s="115"/>
      <c r="G729" s="115"/>
      <c r="H729" s="115"/>
    </row>
    <row r="730" spans="3:8">
      <c r="C730" s="115"/>
      <c r="D730" s="115"/>
      <c r="E730" s="115"/>
      <c r="F730" s="115"/>
      <c r="G730" s="115"/>
      <c r="H730" s="115"/>
    </row>
    <row r="731" spans="3:8">
      <c r="C731" s="115"/>
      <c r="D731" s="115"/>
      <c r="E731" s="115"/>
      <c r="F731" s="115"/>
      <c r="G731" s="115"/>
      <c r="H731" s="115"/>
    </row>
    <row r="732" spans="3:8">
      <c r="C732" s="115"/>
      <c r="D732" s="115"/>
      <c r="E732" s="115"/>
      <c r="F732" s="115"/>
      <c r="G732" s="115"/>
      <c r="H732" s="115"/>
    </row>
    <row r="733" spans="3:8">
      <c r="C733" s="115"/>
      <c r="D733" s="115"/>
      <c r="E733" s="115"/>
      <c r="F733" s="115"/>
      <c r="G733" s="115"/>
      <c r="H733" s="115"/>
    </row>
    <row r="734" spans="3:8">
      <c r="C734" s="115"/>
      <c r="D734" s="115"/>
      <c r="E734" s="115"/>
      <c r="F734" s="115"/>
      <c r="G734" s="115"/>
      <c r="H734" s="115"/>
    </row>
    <row r="735" spans="3:8">
      <c r="C735" s="115"/>
      <c r="D735" s="115"/>
      <c r="E735" s="115"/>
      <c r="F735" s="115"/>
      <c r="G735" s="115"/>
      <c r="H735" s="115"/>
    </row>
    <row r="736" spans="3:8">
      <c r="C736" s="115"/>
      <c r="D736" s="115"/>
      <c r="E736" s="115"/>
      <c r="F736" s="115"/>
      <c r="G736" s="115"/>
      <c r="H736" s="115"/>
    </row>
    <row r="737" spans="3:8">
      <c r="C737" s="115"/>
      <c r="D737" s="115"/>
      <c r="E737" s="115"/>
      <c r="F737" s="115"/>
      <c r="G737" s="115"/>
      <c r="H737" s="115"/>
    </row>
    <row r="738" spans="3:8">
      <c r="C738" s="115"/>
      <c r="D738" s="115"/>
      <c r="E738" s="115"/>
      <c r="F738" s="115"/>
      <c r="G738" s="115"/>
      <c r="H738" s="115"/>
    </row>
    <row r="739" spans="3:8">
      <c r="C739" s="115"/>
      <c r="D739" s="115"/>
      <c r="E739" s="115"/>
      <c r="F739" s="115"/>
      <c r="G739" s="115"/>
      <c r="H739" s="115"/>
    </row>
    <row r="740" spans="3:8">
      <c r="C740" s="115"/>
      <c r="D740" s="115"/>
      <c r="E740" s="115"/>
      <c r="F740" s="115"/>
      <c r="G740" s="115"/>
      <c r="H740" s="115"/>
    </row>
    <row r="741" spans="3:8">
      <c r="C741" s="115"/>
      <c r="D741" s="115"/>
      <c r="E741" s="115"/>
      <c r="F741" s="115"/>
      <c r="G741" s="115"/>
      <c r="H741" s="115"/>
    </row>
    <row r="742" spans="3:8">
      <c r="C742" s="115"/>
      <c r="D742" s="115"/>
      <c r="E742" s="115"/>
      <c r="F742" s="115"/>
      <c r="G742" s="115"/>
      <c r="H742" s="115"/>
    </row>
    <row r="743" spans="3:8">
      <c r="C743" s="115"/>
      <c r="D743" s="115"/>
      <c r="E743" s="115"/>
      <c r="F743" s="115"/>
      <c r="G743" s="115"/>
      <c r="H743" s="115"/>
    </row>
    <row r="744" spans="3:8">
      <c r="C744" s="115"/>
      <c r="D744" s="115"/>
      <c r="E744" s="115"/>
      <c r="F744" s="115"/>
      <c r="G744" s="115"/>
      <c r="H744" s="115"/>
    </row>
    <row r="745" spans="3:8">
      <c r="C745" s="115"/>
      <c r="D745" s="115"/>
      <c r="E745" s="115"/>
      <c r="F745" s="115"/>
      <c r="G745" s="115"/>
      <c r="H745" s="115"/>
    </row>
    <row r="746" spans="3:8">
      <c r="C746" s="115"/>
      <c r="D746" s="115"/>
      <c r="E746" s="115"/>
      <c r="F746" s="115"/>
      <c r="G746" s="115"/>
      <c r="H746" s="115"/>
    </row>
    <row r="747" spans="3:8">
      <c r="C747" s="115"/>
      <c r="D747" s="115"/>
      <c r="E747" s="115"/>
      <c r="F747" s="115"/>
      <c r="G747" s="115"/>
      <c r="H747" s="115"/>
    </row>
    <row r="748" spans="3:8">
      <c r="C748" s="115"/>
      <c r="D748" s="115"/>
      <c r="E748" s="115"/>
      <c r="F748" s="115"/>
      <c r="G748" s="115"/>
      <c r="H748" s="115"/>
    </row>
    <row r="749" spans="3:8">
      <c r="C749" s="115"/>
      <c r="D749" s="115"/>
      <c r="E749" s="115"/>
      <c r="F749" s="115"/>
      <c r="G749" s="115"/>
      <c r="H749" s="115"/>
    </row>
    <row r="750" spans="3:8">
      <c r="C750" s="115"/>
      <c r="D750" s="115"/>
      <c r="E750" s="115"/>
      <c r="F750" s="115"/>
      <c r="G750" s="115"/>
      <c r="H750" s="115"/>
    </row>
    <row r="751" spans="3:8">
      <c r="C751" s="115"/>
      <c r="D751" s="115"/>
      <c r="E751" s="115"/>
      <c r="F751" s="115"/>
      <c r="G751" s="115"/>
      <c r="H751" s="115"/>
    </row>
    <row r="752" spans="3:8">
      <c r="C752" s="115"/>
      <c r="D752" s="115"/>
      <c r="E752" s="115"/>
      <c r="F752" s="115"/>
      <c r="G752" s="115"/>
      <c r="H752" s="115"/>
    </row>
    <row r="753" spans="3:8">
      <c r="C753" s="115"/>
      <c r="D753" s="115"/>
      <c r="E753" s="115"/>
      <c r="F753" s="115"/>
      <c r="G753" s="115"/>
      <c r="H753" s="115"/>
    </row>
    <row r="754" spans="3:8">
      <c r="C754" s="115"/>
      <c r="D754" s="115"/>
      <c r="E754" s="115"/>
      <c r="F754" s="115"/>
      <c r="G754" s="115"/>
      <c r="H754" s="115"/>
    </row>
    <row r="755" spans="3:8">
      <c r="C755" s="115"/>
      <c r="D755" s="115"/>
      <c r="E755" s="115"/>
      <c r="F755" s="115"/>
      <c r="G755" s="115"/>
      <c r="H755" s="115"/>
    </row>
    <row r="756" spans="3:8">
      <c r="C756" s="115"/>
      <c r="D756" s="115"/>
      <c r="E756" s="115"/>
      <c r="F756" s="115"/>
      <c r="G756" s="115"/>
      <c r="H756" s="115"/>
    </row>
    <row r="757" spans="3:8">
      <c r="C757" s="115"/>
      <c r="D757" s="115"/>
      <c r="E757" s="115"/>
      <c r="F757" s="115"/>
      <c r="G757" s="115"/>
      <c r="H757" s="115"/>
    </row>
    <row r="758" spans="3:8">
      <c r="C758" s="115"/>
      <c r="D758" s="115"/>
      <c r="E758" s="115"/>
      <c r="F758" s="115"/>
      <c r="G758" s="115"/>
      <c r="H758" s="115"/>
    </row>
    <row r="759" spans="3:8">
      <c r="C759" s="115"/>
      <c r="D759" s="115"/>
      <c r="E759" s="115"/>
      <c r="F759" s="115"/>
      <c r="G759" s="115"/>
      <c r="H759" s="115"/>
    </row>
    <row r="760" spans="3:8">
      <c r="C760" s="115"/>
      <c r="D760" s="115"/>
      <c r="E760" s="115"/>
      <c r="F760" s="115"/>
      <c r="G760" s="115"/>
      <c r="H760" s="115"/>
    </row>
    <row r="761" spans="3:8">
      <c r="C761" s="115"/>
      <c r="D761" s="115"/>
      <c r="E761" s="115"/>
      <c r="F761" s="115"/>
      <c r="G761" s="115"/>
      <c r="H761" s="115"/>
    </row>
    <row r="762" spans="3:8">
      <c r="C762" s="115"/>
      <c r="D762" s="115"/>
      <c r="E762" s="115"/>
      <c r="F762" s="115"/>
      <c r="G762" s="115"/>
      <c r="H762" s="115"/>
    </row>
    <row r="763" spans="3:8">
      <c r="C763" s="115"/>
      <c r="D763" s="115"/>
      <c r="E763" s="115"/>
      <c r="F763" s="115"/>
      <c r="G763" s="115"/>
      <c r="H763" s="115"/>
    </row>
    <row r="764" spans="3:8">
      <c r="C764" s="115"/>
      <c r="D764" s="115"/>
      <c r="E764" s="115"/>
      <c r="F764" s="115"/>
      <c r="G764" s="115"/>
      <c r="H764" s="115"/>
    </row>
    <row r="765" spans="3:8">
      <c r="C765" s="115"/>
      <c r="D765" s="115"/>
      <c r="E765" s="115"/>
      <c r="F765" s="115"/>
      <c r="G765" s="115"/>
      <c r="H765" s="115"/>
    </row>
    <row r="766" spans="3:8">
      <c r="C766" s="115"/>
      <c r="D766" s="115"/>
      <c r="E766" s="115"/>
      <c r="F766" s="115"/>
      <c r="G766" s="115"/>
      <c r="H766" s="115"/>
    </row>
    <row r="767" spans="3:8">
      <c r="C767" s="115"/>
      <c r="D767" s="115"/>
      <c r="E767" s="115"/>
      <c r="F767" s="115"/>
      <c r="G767" s="115"/>
      <c r="H767" s="115"/>
    </row>
    <row r="768" spans="3:8">
      <c r="C768" s="115"/>
      <c r="D768" s="115"/>
      <c r="E768" s="115"/>
      <c r="F768" s="115"/>
      <c r="G768" s="115"/>
      <c r="H768" s="115"/>
    </row>
    <row r="769" spans="3:8">
      <c r="C769" s="115"/>
      <c r="D769" s="115"/>
      <c r="E769" s="115"/>
      <c r="F769" s="115"/>
      <c r="G769" s="115"/>
      <c r="H769" s="115"/>
    </row>
    <row r="770" spans="3:8">
      <c r="C770" s="115"/>
      <c r="D770" s="115"/>
      <c r="E770" s="115"/>
      <c r="F770" s="115"/>
      <c r="G770" s="115"/>
      <c r="H770" s="115"/>
    </row>
    <row r="771" spans="3:8">
      <c r="C771" s="115"/>
      <c r="D771" s="115"/>
      <c r="E771" s="115"/>
      <c r="F771" s="115"/>
      <c r="G771" s="115"/>
      <c r="H771" s="115"/>
    </row>
    <row r="772" spans="3:8">
      <c r="C772" s="115"/>
      <c r="D772" s="115"/>
      <c r="E772" s="115"/>
      <c r="F772" s="115"/>
      <c r="G772" s="115"/>
      <c r="H772" s="115"/>
    </row>
    <row r="773" spans="3:8">
      <c r="C773" s="115"/>
      <c r="D773" s="115"/>
      <c r="E773" s="115"/>
      <c r="F773" s="115"/>
      <c r="G773" s="115"/>
      <c r="H773" s="115"/>
    </row>
    <row r="774" spans="3:8">
      <c r="C774" s="115"/>
      <c r="D774" s="115"/>
      <c r="E774" s="115"/>
      <c r="F774" s="115"/>
      <c r="G774" s="115"/>
      <c r="H774" s="115"/>
    </row>
    <row r="775" spans="3:8">
      <c r="C775" s="115"/>
      <c r="D775" s="115"/>
      <c r="E775" s="115"/>
      <c r="F775" s="115"/>
      <c r="G775" s="115"/>
      <c r="H775" s="115"/>
    </row>
    <row r="776" spans="3:8">
      <c r="C776" s="115"/>
      <c r="D776" s="115"/>
      <c r="E776" s="115"/>
      <c r="F776" s="115"/>
      <c r="G776" s="115"/>
      <c r="H776" s="115"/>
    </row>
    <row r="777" spans="3:8">
      <c r="C777" s="115"/>
      <c r="D777" s="115"/>
      <c r="E777" s="115"/>
      <c r="F777" s="115"/>
      <c r="G777" s="115"/>
      <c r="H777" s="115"/>
    </row>
    <row r="778" spans="3:8">
      <c r="C778" s="115"/>
      <c r="D778" s="115"/>
      <c r="E778" s="115"/>
      <c r="F778" s="115"/>
      <c r="G778" s="115"/>
      <c r="H778" s="115"/>
    </row>
    <row r="779" spans="3:8">
      <c r="C779" s="115"/>
      <c r="D779" s="115"/>
      <c r="E779" s="115"/>
      <c r="F779" s="115"/>
      <c r="G779" s="115"/>
      <c r="H779" s="115"/>
    </row>
    <row r="780" spans="3:8">
      <c r="C780" s="115"/>
      <c r="D780" s="115"/>
      <c r="E780" s="115"/>
      <c r="F780" s="115"/>
      <c r="G780" s="115"/>
      <c r="H780" s="115"/>
    </row>
    <row r="781" spans="3:8">
      <c r="C781" s="115"/>
      <c r="D781" s="115"/>
      <c r="E781" s="115"/>
      <c r="F781" s="115"/>
      <c r="G781" s="115"/>
      <c r="H781" s="115"/>
    </row>
    <row r="782" spans="3:8">
      <c r="C782" s="115"/>
      <c r="D782" s="115"/>
      <c r="E782" s="115"/>
      <c r="F782" s="115"/>
      <c r="G782" s="115"/>
      <c r="H782" s="115"/>
    </row>
    <row r="783" spans="3:8">
      <c r="C783" s="115"/>
      <c r="D783" s="115"/>
      <c r="E783" s="115"/>
      <c r="F783" s="115"/>
      <c r="G783" s="115"/>
      <c r="H783" s="115"/>
    </row>
    <row r="784" spans="3:8">
      <c r="C784" s="115"/>
      <c r="D784" s="115"/>
      <c r="E784" s="115"/>
      <c r="F784" s="115"/>
      <c r="G784" s="115"/>
      <c r="H784" s="115"/>
    </row>
    <row r="785" spans="3:8">
      <c r="C785" s="115"/>
      <c r="D785" s="115"/>
      <c r="E785" s="115"/>
      <c r="F785" s="115"/>
      <c r="G785" s="115"/>
      <c r="H785" s="115"/>
    </row>
    <row r="786" spans="3:8">
      <c r="C786" s="115"/>
      <c r="D786" s="115"/>
      <c r="E786" s="115"/>
      <c r="F786" s="115"/>
      <c r="G786" s="115"/>
      <c r="H786" s="115"/>
    </row>
    <row r="787" spans="3:8">
      <c r="C787" s="115"/>
      <c r="D787" s="115"/>
      <c r="E787" s="115"/>
      <c r="F787" s="115"/>
      <c r="G787" s="115"/>
      <c r="H787" s="115"/>
    </row>
    <row r="788" spans="3:8">
      <c r="C788" s="115"/>
      <c r="D788" s="115"/>
      <c r="E788" s="115"/>
      <c r="F788" s="115"/>
      <c r="G788" s="115"/>
      <c r="H788" s="115"/>
    </row>
    <row r="789" spans="3:8">
      <c r="C789" s="115"/>
      <c r="D789" s="115"/>
      <c r="E789" s="115"/>
      <c r="F789" s="115"/>
      <c r="G789" s="115"/>
      <c r="H789" s="115"/>
    </row>
    <row r="790" spans="3:8">
      <c r="C790" s="115"/>
      <c r="D790" s="115"/>
      <c r="E790" s="115"/>
      <c r="F790" s="115"/>
      <c r="G790" s="115"/>
      <c r="H790" s="115"/>
    </row>
    <row r="791" spans="3:8">
      <c r="C791" s="115"/>
      <c r="D791" s="115"/>
      <c r="E791" s="115"/>
      <c r="F791" s="115"/>
      <c r="G791" s="115"/>
      <c r="H791" s="115"/>
    </row>
    <row r="792" spans="3:8">
      <c r="C792" s="115"/>
      <c r="D792" s="115"/>
      <c r="E792" s="115"/>
      <c r="F792" s="115"/>
      <c r="G792" s="115"/>
      <c r="H792" s="115"/>
    </row>
    <row r="793" spans="3:8">
      <c r="C793" s="115"/>
      <c r="D793" s="115"/>
      <c r="E793" s="115"/>
      <c r="F793" s="115"/>
      <c r="G793" s="115"/>
      <c r="H793" s="115"/>
    </row>
    <row r="794" spans="3:8">
      <c r="C794" s="115"/>
      <c r="D794" s="115"/>
      <c r="E794" s="115"/>
      <c r="F794" s="115"/>
      <c r="G794" s="115"/>
      <c r="H794" s="115"/>
    </row>
    <row r="795" spans="3:8">
      <c r="C795" s="115"/>
      <c r="D795" s="115"/>
      <c r="E795" s="115"/>
      <c r="F795" s="115"/>
      <c r="G795" s="115"/>
      <c r="H795" s="115"/>
    </row>
    <row r="796" spans="3:8">
      <c r="C796" s="115"/>
      <c r="D796" s="115"/>
      <c r="E796" s="115"/>
      <c r="F796" s="115"/>
      <c r="G796" s="115"/>
      <c r="H796" s="115"/>
    </row>
    <row r="797" spans="3:8">
      <c r="C797" s="115"/>
      <c r="D797" s="115"/>
      <c r="E797" s="115"/>
      <c r="F797" s="115"/>
      <c r="G797" s="115"/>
      <c r="H797" s="115"/>
    </row>
    <row r="798" spans="3:8">
      <c r="C798" s="115"/>
      <c r="D798" s="115"/>
      <c r="E798" s="115"/>
      <c r="F798" s="115"/>
      <c r="G798" s="115"/>
      <c r="H798" s="115"/>
    </row>
    <row r="799" spans="3:8">
      <c r="C799" s="115"/>
      <c r="D799" s="115"/>
      <c r="E799" s="115"/>
      <c r="F799" s="115"/>
      <c r="G799" s="115"/>
      <c r="H799" s="115"/>
    </row>
    <row r="800" spans="3:8">
      <c r="C800" s="115"/>
      <c r="D800" s="115"/>
      <c r="E800" s="115"/>
      <c r="F800" s="115"/>
      <c r="G800" s="115"/>
      <c r="H800" s="115"/>
    </row>
    <row r="801" spans="3:8">
      <c r="C801" s="115"/>
      <c r="D801" s="115"/>
      <c r="E801" s="115"/>
      <c r="F801" s="115"/>
      <c r="G801" s="115"/>
      <c r="H801" s="115"/>
    </row>
    <row r="802" spans="3:8">
      <c r="C802" s="115"/>
      <c r="D802" s="115"/>
      <c r="E802" s="115"/>
      <c r="F802" s="115"/>
      <c r="G802" s="115"/>
      <c r="H802" s="115"/>
    </row>
    <row r="803" spans="3:8">
      <c r="C803" s="115"/>
      <c r="D803" s="115"/>
      <c r="E803" s="115"/>
      <c r="F803" s="115"/>
      <c r="G803" s="115"/>
      <c r="H803" s="115"/>
    </row>
    <row r="804" spans="3:8">
      <c r="C804" s="115"/>
      <c r="D804" s="115"/>
      <c r="E804" s="115"/>
      <c r="F804" s="115"/>
      <c r="G804" s="115"/>
      <c r="H804" s="115"/>
    </row>
    <row r="805" spans="3:8">
      <c r="C805" s="115"/>
      <c r="D805" s="115"/>
      <c r="E805" s="115"/>
      <c r="F805" s="115"/>
      <c r="G805" s="115"/>
      <c r="H805" s="115"/>
    </row>
    <row r="806" spans="3:8">
      <c r="C806" s="115"/>
      <c r="D806" s="115"/>
      <c r="E806" s="115"/>
      <c r="F806" s="115"/>
      <c r="G806" s="115"/>
      <c r="H806" s="115"/>
    </row>
    <row r="807" spans="3:8">
      <c r="C807" s="115"/>
      <c r="D807" s="115"/>
      <c r="E807" s="115"/>
      <c r="F807" s="115"/>
      <c r="G807" s="115"/>
      <c r="H807" s="115"/>
    </row>
    <row r="808" spans="3:8">
      <c r="C808" s="115"/>
      <c r="D808" s="115"/>
      <c r="E808" s="115"/>
      <c r="F808" s="115"/>
      <c r="G808" s="115"/>
      <c r="H808" s="115"/>
    </row>
    <row r="809" spans="3:8">
      <c r="C809" s="115"/>
      <c r="D809" s="115"/>
      <c r="E809" s="115"/>
      <c r="F809" s="115"/>
      <c r="G809" s="115"/>
      <c r="H809" s="115"/>
    </row>
    <row r="810" spans="3:8">
      <c r="C810" s="115"/>
      <c r="D810" s="115"/>
      <c r="E810" s="115"/>
      <c r="F810" s="115"/>
      <c r="G810" s="115"/>
      <c r="H810" s="115"/>
    </row>
    <row r="811" spans="3:8">
      <c r="C811" s="115"/>
      <c r="D811" s="115"/>
      <c r="E811" s="115"/>
      <c r="F811" s="115"/>
      <c r="G811" s="115"/>
      <c r="H811" s="115"/>
    </row>
    <row r="812" spans="3:8">
      <c r="C812" s="115"/>
      <c r="D812" s="115"/>
      <c r="E812" s="115"/>
      <c r="F812" s="115"/>
      <c r="G812" s="115"/>
      <c r="H812" s="115"/>
    </row>
    <row r="813" spans="3:8">
      <c r="C813" s="115"/>
      <c r="D813" s="115"/>
      <c r="E813" s="115"/>
      <c r="F813" s="115"/>
      <c r="G813" s="115"/>
      <c r="H813" s="115"/>
    </row>
    <row r="814" spans="3:8">
      <c r="C814" s="115"/>
      <c r="D814" s="115"/>
      <c r="E814" s="115"/>
      <c r="F814" s="115"/>
      <c r="G814" s="115"/>
      <c r="H814" s="115"/>
    </row>
    <row r="815" spans="3:8">
      <c r="C815" s="115"/>
      <c r="D815" s="115"/>
      <c r="E815" s="115"/>
      <c r="F815" s="115"/>
      <c r="G815" s="115"/>
      <c r="H815" s="115"/>
    </row>
    <row r="816" spans="3:8">
      <c r="C816" s="115"/>
      <c r="D816" s="115"/>
      <c r="E816" s="115"/>
      <c r="F816" s="115"/>
      <c r="G816" s="115"/>
      <c r="H816" s="115"/>
    </row>
    <row r="817" spans="3:8">
      <c r="C817" s="115"/>
      <c r="D817" s="115"/>
      <c r="E817" s="115"/>
      <c r="F817" s="115"/>
      <c r="G817" s="115"/>
      <c r="H817" s="115"/>
    </row>
    <row r="818" spans="3:8">
      <c r="C818" s="115"/>
      <c r="D818" s="115"/>
      <c r="E818" s="115"/>
      <c r="F818" s="115"/>
      <c r="G818" s="115"/>
      <c r="H818" s="115"/>
    </row>
    <row r="819" spans="3:8">
      <c r="C819" s="115"/>
      <c r="D819" s="115"/>
      <c r="E819" s="115"/>
      <c r="F819" s="115"/>
      <c r="G819" s="115"/>
      <c r="H819" s="115"/>
    </row>
    <row r="820" spans="3:8">
      <c r="C820" s="115"/>
      <c r="D820" s="115"/>
      <c r="E820" s="115"/>
      <c r="F820" s="115"/>
      <c r="G820" s="115"/>
      <c r="H820" s="115"/>
    </row>
    <row r="821" spans="3:8">
      <c r="C821" s="115"/>
      <c r="D821" s="115"/>
      <c r="E821" s="115"/>
      <c r="F821" s="115"/>
      <c r="G821" s="115"/>
      <c r="H821" s="115"/>
    </row>
    <row r="822" spans="3:8">
      <c r="C822" s="115"/>
      <c r="D822" s="115"/>
      <c r="E822" s="115"/>
      <c r="F822" s="115"/>
      <c r="G822" s="115"/>
      <c r="H822" s="115"/>
    </row>
    <row r="823" spans="3:8">
      <c r="C823" s="115"/>
      <c r="D823" s="115"/>
      <c r="E823" s="115"/>
      <c r="F823" s="115"/>
      <c r="G823" s="115"/>
      <c r="H823" s="115"/>
    </row>
    <row r="824" spans="3:8">
      <c r="C824" s="115"/>
      <c r="D824" s="115"/>
      <c r="E824" s="115"/>
      <c r="F824" s="115"/>
      <c r="G824" s="115"/>
      <c r="H824" s="115"/>
    </row>
    <row r="825" spans="3:8">
      <c r="C825" s="115"/>
      <c r="D825" s="115"/>
      <c r="E825" s="115"/>
      <c r="F825" s="115"/>
      <c r="G825" s="115"/>
      <c r="H825" s="115"/>
    </row>
    <row r="826" spans="3:8">
      <c r="C826" s="115"/>
      <c r="D826" s="115"/>
      <c r="E826" s="115"/>
      <c r="F826" s="115"/>
      <c r="G826" s="115"/>
      <c r="H826" s="115"/>
    </row>
    <row r="827" spans="3:8">
      <c r="C827" s="115"/>
      <c r="D827" s="115"/>
      <c r="E827" s="115"/>
      <c r="F827" s="115"/>
      <c r="G827" s="115"/>
      <c r="H827" s="115"/>
    </row>
    <row r="828" spans="3:8">
      <c r="C828" s="115"/>
      <c r="D828" s="115"/>
      <c r="E828" s="115"/>
      <c r="F828" s="115"/>
      <c r="G828" s="115"/>
      <c r="H828" s="115"/>
    </row>
    <row r="829" spans="3:8">
      <c r="C829" s="115"/>
      <c r="D829" s="115"/>
      <c r="E829" s="115"/>
      <c r="F829" s="115"/>
      <c r="G829" s="115"/>
      <c r="H829" s="115"/>
    </row>
    <row r="830" spans="3:8">
      <c r="C830" s="115"/>
      <c r="D830" s="115"/>
      <c r="E830" s="115"/>
      <c r="F830" s="115"/>
      <c r="G830" s="115"/>
      <c r="H830" s="115"/>
    </row>
    <row r="831" spans="3:8">
      <c r="C831" s="115"/>
      <c r="D831" s="115"/>
      <c r="E831" s="115"/>
      <c r="F831" s="115"/>
      <c r="G831" s="115"/>
      <c r="H831" s="115"/>
    </row>
    <row r="832" spans="3:8">
      <c r="C832" s="115"/>
      <c r="D832" s="115"/>
      <c r="E832" s="115"/>
      <c r="F832" s="115"/>
      <c r="G832" s="115"/>
      <c r="H832" s="115"/>
    </row>
    <row r="833" spans="3:8">
      <c r="C833" s="115"/>
      <c r="D833" s="115"/>
      <c r="E833" s="115"/>
      <c r="F833" s="115"/>
      <c r="G833" s="115"/>
      <c r="H833" s="115"/>
    </row>
    <row r="834" spans="3:8">
      <c r="C834" s="115"/>
      <c r="D834" s="115"/>
      <c r="E834" s="115"/>
      <c r="F834" s="115"/>
      <c r="G834" s="115"/>
      <c r="H834" s="115"/>
    </row>
    <row r="835" spans="3:8">
      <c r="C835" s="115"/>
      <c r="D835" s="115"/>
      <c r="E835" s="115"/>
      <c r="F835" s="115"/>
      <c r="G835" s="115"/>
      <c r="H835" s="115"/>
    </row>
    <row r="836" spans="3:8">
      <c r="C836" s="115"/>
      <c r="D836" s="115"/>
      <c r="E836" s="115"/>
      <c r="F836" s="115"/>
      <c r="G836" s="115"/>
      <c r="H836" s="115"/>
    </row>
    <row r="837" spans="3:8">
      <c r="C837" s="115"/>
      <c r="D837" s="115"/>
      <c r="E837" s="115"/>
      <c r="F837" s="115"/>
      <c r="G837" s="115"/>
      <c r="H837" s="115"/>
    </row>
    <row r="838" spans="3:8">
      <c r="C838" s="115"/>
      <c r="D838" s="115"/>
      <c r="E838" s="115"/>
      <c r="F838" s="115"/>
      <c r="G838" s="115"/>
      <c r="H838" s="115"/>
    </row>
    <row r="839" spans="3:8">
      <c r="C839" s="115"/>
      <c r="D839" s="115"/>
      <c r="E839" s="115"/>
      <c r="F839" s="115"/>
      <c r="G839" s="115"/>
      <c r="H839" s="115"/>
    </row>
    <row r="840" spans="3:8">
      <c r="C840" s="115"/>
      <c r="D840" s="115"/>
      <c r="E840" s="115"/>
      <c r="F840" s="115"/>
      <c r="G840" s="115"/>
      <c r="H840" s="115"/>
    </row>
    <row r="841" spans="3:8">
      <c r="C841" s="115"/>
      <c r="D841" s="115"/>
      <c r="E841" s="115"/>
      <c r="F841" s="115"/>
      <c r="G841" s="115"/>
      <c r="H841" s="115"/>
    </row>
    <row r="842" spans="3:8">
      <c r="C842" s="115"/>
      <c r="D842" s="115"/>
      <c r="E842" s="115"/>
      <c r="F842" s="115"/>
      <c r="G842" s="115"/>
      <c r="H842" s="115"/>
    </row>
    <row r="843" spans="3:8">
      <c r="C843" s="115"/>
      <c r="D843" s="115"/>
      <c r="E843" s="115"/>
      <c r="F843" s="115"/>
      <c r="G843" s="115"/>
      <c r="H843" s="115"/>
    </row>
    <row r="844" spans="3:8">
      <c r="C844" s="115"/>
      <c r="D844" s="115"/>
      <c r="E844" s="115"/>
      <c r="F844" s="115"/>
      <c r="G844" s="115"/>
      <c r="H844" s="115"/>
    </row>
    <row r="845" spans="3:8">
      <c r="C845" s="115"/>
      <c r="D845" s="115"/>
      <c r="E845" s="115"/>
      <c r="F845" s="115"/>
      <c r="G845" s="115"/>
      <c r="H845" s="115"/>
    </row>
    <row r="846" spans="3:8">
      <c r="C846" s="115"/>
      <c r="D846" s="115"/>
      <c r="E846" s="115"/>
      <c r="F846" s="115"/>
      <c r="G846" s="115"/>
      <c r="H846" s="115"/>
    </row>
    <row r="847" spans="3:8">
      <c r="C847" s="115"/>
      <c r="D847" s="115"/>
      <c r="E847" s="115"/>
      <c r="F847" s="115"/>
      <c r="G847" s="115"/>
      <c r="H847" s="115"/>
    </row>
    <row r="848" spans="3:8">
      <c r="C848" s="115"/>
      <c r="D848" s="115"/>
      <c r="E848" s="115"/>
      <c r="F848" s="115"/>
      <c r="G848" s="115"/>
      <c r="H848" s="115"/>
    </row>
    <row r="849" spans="3:8">
      <c r="C849" s="115"/>
      <c r="D849" s="115"/>
      <c r="E849" s="115"/>
      <c r="F849" s="115"/>
      <c r="G849" s="115"/>
      <c r="H849" s="115"/>
    </row>
    <row r="850" spans="3:8">
      <c r="C850" s="115"/>
      <c r="D850" s="115"/>
      <c r="E850" s="115"/>
      <c r="F850" s="115"/>
      <c r="G850" s="115"/>
      <c r="H850" s="115"/>
    </row>
    <row r="851" spans="3:8">
      <c r="C851" s="115"/>
      <c r="D851" s="115"/>
      <c r="E851" s="115"/>
      <c r="F851" s="115"/>
      <c r="G851" s="115"/>
      <c r="H851" s="115"/>
    </row>
    <row r="852" spans="3:8">
      <c r="C852" s="115"/>
      <c r="D852" s="115"/>
      <c r="E852" s="115"/>
      <c r="F852" s="115"/>
      <c r="G852" s="115"/>
      <c r="H852" s="115"/>
    </row>
    <row r="853" spans="3:8">
      <c r="C853" s="115"/>
      <c r="D853" s="115"/>
      <c r="E853" s="115"/>
      <c r="F853" s="115"/>
      <c r="G853" s="115"/>
      <c r="H853" s="115"/>
    </row>
    <row r="854" spans="3:8">
      <c r="C854" s="115"/>
      <c r="D854" s="115"/>
      <c r="E854" s="115"/>
      <c r="F854" s="115"/>
      <c r="G854" s="115"/>
      <c r="H854" s="115"/>
    </row>
    <row r="855" spans="3:8">
      <c r="C855" s="115"/>
      <c r="D855" s="115"/>
      <c r="E855" s="115"/>
      <c r="F855" s="115"/>
      <c r="G855" s="115"/>
      <c r="H855" s="115"/>
    </row>
    <row r="856" spans="3:8">
      <c r="C856" s="115"/>
      <c r="D856" s="115"/>
      <c r="E856" s="115"/>
      <c r="F856" s="115"/>
      <c r="G856" s="115"/>
      <c r="H856" s="115"/>
    </row>
    <row r="857" spans="3:8">
      <c r="C857" s="115"/>
      <c r="D857" s="115"/>
      <c r="E857" s="115"/>
      <c r="F857" s="115"/>
      <c r="G857" s="115"/>
      <c r="H857" s="115"/>
    </row>
    <row r="858" spans="3:8">
      <c r="C858" s="115"/>
      <c r="D858" s="115"/>
      <c r="E858" s="115"/>
      <c r="F858" s="115"/>
      <c r="G858" s="115"/>
      <c r="H858" s="115"/>
    </row>
    <row r="859" spans="3:8">
      <c r="C859" s="115"/>
      <c r="D859" s="115"/>
      <c r="E859" s="115"/>
      <c r="F859" s="115"/>
      <c r="G859" s="115"/>
      <c r="H859" s="115"/>
    </row>
    <row r="860" spans="3:8">
      <c r="C860" s="115"/>
      <c r="D860" s="115"/>
      <c r="E860" s="115"/>
      <c r="F860" s="115"/>
      <c r="G860" s="115"/>
      <c r="H860" s="115"/>
    </row>
    <row r="861" spans="3:8">
      <c r="C861" s="115"/>
      <c r="D861" s="115"/>
      <c r="E861" s="115"/>
      <c r="F861" s="115"/>
      <c r="G861" s="115"/>
      <c r="H861" s="115"/>
    </row>
    <row r="862" spans="3:8">
      <c r="C862" s="115"/>
      <c r="D862" s="115"/>
      <c r="E862" s="115"/>
      <c r="F862" s="115"/>
      <c r="G862" s="115"/>
      <c r="H862" s="115"/>
    </row>
    <row r="863" spans="3:8">
      <c r="C863" s="115"/>
      <c r="D863" s="115"/>
      <c r="E863" s="115"/>
      <c r="F863" s="115"/>
      <c r="G863" s="115"/>
      <c r="H863" s="115"/>
    </row>
    <row r="864" spans="3:8">
      <c r="C864" s="115"/>
      <c r="D864" s="115"/>
      <c r="E864" s="115"/>
      <c r="F864" s="115"/>
      <c r="G864" s="115"/>
      <c r="H864" s="115"/>
    </row>
    <row r="865" spans="3:8">
      <c r="C865" s="115"/>
      <c r="D865" s="115"/>
      <c r="E865" s="115"/>
      <c r="F865" s="115"/>
      <c r="G865" s="115"/>
      <c r="H865" s="115"/>
    </row>
    <row r="866" spans="3:8">
      <c r="C866" s="115"/>
      <c r="D866" s="115"/>
      <c r="E866" s="115"/>
      <c r="F866" s="115"/>
      <c r="G866" s="115"/>
      <c r="H866" s="115"/>
    </row>
    <row r="867" spans="3:8">
      <c r="C867" s="115"/>
      <c r="D867" s="115"/>
      <c r="E867" s="115"/>
      <c r="F867" s="115"/>
      <c r="G867" s="115"/>
      <c r="H867" s="115"/>
    </row>
    <row r="868" spans="3:8">
      <c r="C868" s="115"/>
      <c r="D868" s="115"/>
      <c r="E868" s="115"/>
      <c r="F868" s="115"/>
      <c r="G868" s="115"/>
      <c r="H868" s="115"/>
    </row>
    <row r="869" spans="3:8">
      <c r="C869" s="115"/>
      <c r="D869" s="115"/>
      <c r="E869" s="115"/>
      <c r="F869" s="115"/>
      <c r="G869" s="115"/>
      <c r="H869" s="115"/>
    </row>
    <row r="870" spans="3:8">
      <c r="C870" s="115"/>
      <c r="D870" s="115"/>
      <c r="E870" s="115"/>
      <c r="F870" s="115"/>
      <c r="G870" s="115"/>
      <c r="H870" s="115"/>
    </row>
    <row r="871" spans="3:8">
      <c r="C871" s="115"/>
      <c r="D871" s="115"/>
      <c r="E871" s="115"/>
      <c r="F871" s="115"/>
      <c r="G871" s="115"/>
      <c r="H871" s="115"/>
    </row>
    <row r="872" spans="3:8">
      <c r="C872" s="115"/>
      <c r="D872" s="115"/>
      <c r="E872" s="115"/>
      <c r="F872" s="115"/>
      <c r="G872" s="115"/>
      <c r="H872" s="115"/>
    </row>
    <row r="873" spans="3:8">
      <c r="C873" s="115"/>
      <c r="D873" s="115"/>
      <c r="E873" s="115"/>
      <c r="F873" s="115"/>
      <c r="G873" s="115"/>
      <c r="H873" s="115"/>
    </row>
    <row r="874" spans="3:8">
      <c r="C874" s="115"/>
      <c r="D874" s="115"/>
      <c r="E874" s="115"/>
      <c r="F874" s="115"/>
      <c r="G874" s="115"/>
      <c r="H874" s="115"/>
    </row>
    <row r="875" spans="3:8">
      <c r="C875" s="115"/>
      <c r="D875" s="115"/>
      <c r="E875" s="115"/>
      <c r="F875" s="115"/>
      <c r="G875" s="115"/>
      <c r="H875" s="115"/>
    </row>
    <row r="876" spans="3:8">
      <c r="C876" s="115"/>
      <c r="D876" s="115"/>
      <c r="E876" s="115"/>
      <c r="F876" s="115"/>
      <c r="G876" s="115"/>
      <c r="H876" s="115"/>
    </row>
    <row r="877" spans="3:8">
      <c r="C877" s="115"/>
      <c r="D877" s="115"/>
      <c r="E877" s="115"/>
      <c r="F877" s="115"/>
      <c r="G877" s="115"/>
      <c r="H877" s="115"/>
    </row>
    <row r="878" spans="3:8">
      <c r="C878" s="115"/>
      <c r="D878" s="115"/>
      <c r="E878" s="115"/>
      <c r="F878" s="115"/>
      <c r="G878" s="115"/>
      <c r="H878" s="115"/>
    </row>
    <row r="879" spans="3:8">
      <c r="C879" s="115"/>
      <c r="D879" s="115"/>
      <c r="E879" s="115"/>
      <c r="F879" s="115"/>
      <c r="G879" s="115"/>
      <c r="H879" s="115"/>
    </row>
    <row r="880" spans="3:8">
      <c r="C880" s="115"/>
      <c r="D880" s="115"/>
      <c r="E880" s="115"/>
      <c r="F880" s="115"/>
      <c r="G880" s="115"/>
      <c r="H880" s="115"/>
    </row>
    <row r="881" spans="3:8">
      <c r="C881" s="115"/>
      <c r="D881" s="115"/>
      <c r="E881" s="115"/>
      <c r="F881" s="115"/>
      <c r="G881" s="115"/>
      <c r="H881" s="115"/>
    </row>
    <row r="882" spans="3:8">
      <c r="C882" s="115"/>
      <c r="D882" s="115"/>
      <c r="E882" s="115"/>
      <c r="F882" s="115"/>
      <c r="G882" s="115"/>
      <c r="H882" s="115"/>
    </row>
    <row r="883" spans="3:8">
      <c r="C883" s="115"/>
      <c r="D883" s="115"/>
      <c r="E883" s="115"/>
      <c r="F883" s="115"/>
      <c r="G883" s="115"/>
      <c r="H883" s="115"/>
    </row>
    <row r="884" spans="3:8">
      <c r="C884" s="115"/>
      <c r="D884" s="115"/>
      <c r="E884" s="115"/>
      <c r="F884" s="115"/>
      <c r="G884" s="115"/>
      <c r="H884" s="115"/>
    </row>
    <row r="885" spans="3:8">
      <c r="C885" s="115"/>
      <c r="D885" s="115"/>
      <c r="E885" s="115"/>
      <c r="F885" s="115"/>
      <c r="G885" s="115"/>
      <c r="H885" s="115"/>
    </row>
    <row r="886" spans="3:8">
      <c r="C886" s="115"/>
      <c r="D886" s="115"/>
      <c r="E886" s="115"/>
      <c r="F886" s="115"/>
      <c r="G886" s="115"/>
      <c r="H886" s="115"/>
    </row>
    <row r="887" spans="3:8">
      <c r="C887" s="115"/>
      <c r="D887" s="115"/>
      <c r="E887" s="115"/>
      <c r="F887" s="115"/>
      <c r="G887" s="115"/>
      <c r="H887" s="115"/>
    </row>
    <row r="888" spans="3:8">
      <c r="C888" s="115"/>
      <c r="D888" s="115"/>
      <c r="E888" s="115"/>
      <c r="F888" s="115"/>
      <c r="G888" s="115"/>
      <c r="H888" s="115"/>
    </row>
    <row r="889" spans="3:8">
      <c r="C889" s="115"/>
      <c r="D889" s="115"/>
      <c r="E889" s="115"/>
      <c r="F889" s="115"/>
      <c r="G889" s="115"/>
      <c r="H889" s="115"/>
    </row>
    <row r="890" spans="3:8">
      <c r="C890" s="115"/>
      <c r="D890" s="115"/>
      <c r="E890" s="115"/>
      <c r="F890" s="115"/>
      <c r="G890" s="115"/>
      <c r="H890" s="115"/>
    </row>
    <row r="891" spans="3:8">
      <c r="C891" s="115"/>
      <c r="D891" s="115"/>
      <c r="E891" s="115"/>
      <c r="F891" s="115"/>
      <c r="G891" s="115"/>
      <c r="H891" s="115"/>
    </row>
    <row r="892" spans="3:8">
      <c r="C892" s="115"/>
      <c r="D892" s="115"/>
      <c r="E892" s="115"/>
      <c r="F892" s="115"/>
      <c r="G892" s="115"/>
      <c r="H892" s="115"/>
    </row>
    <row r="893" spans="3:8">
      <c r="C893" s="115"/>
      <c r="D893" s="115"/>
      <c r="E893" s="115"/>
      <c r="F893" s="115"/>
      <c r="G893" s="115"/>
      <c r="H893" s="115"/>
    </row>
    <row r="894" spans="3:8">
      <c r="C894" s="115"/>
      <c r="D894" s="115"/>
      <c r="E894" s="115"/>
      <c r="F894" s="115"/>
      <c r="G894" s="115"/>
      <c r="H894" s="115"/>
    </row>
    <row r="895" spans="3:8">
      <c r="C895" s="115"/>
      <c r="D895" s="115"/>
      <c r="E895" s="115"/>
      <c r="F895" s="115"/>
      <c r="G895" s="115"/>
      <c r="H895" s="115"/>
    </row>
    <row r="896" spans="3:8">
      <c r="C896" s="115"/>
      <c r="D896" s="115"/>
      <c r="E896" s="115"/>
      <c r="F896" s="115"/>
      <c r="G896" s="115"/>
      <c r="H896" s="115"/>
    </row>
    <row r="897" spans="3:8">
      <c r="C897" s="115"/>
      <c r="D897" s="115"/>
      <c r="E897" s="115"/>
      <c r="F897" s="115"/>
      <c r="G897" s="115"/>
      <c r="H897" s="115"/>
    </row>
    <row r="898" spans="3:8">
      <c r="C898" s="115"/>
      <c r="D898" s="115"/>
      <c r="E898" s="115"/>
      <c r="F898" s="115"/>
      <c r="G898" s="115"/>
      <c r="H898" s="115"/>
    </row>
    <row r="899" spans="3:8">
      <c r="C899" s="115"/>
      <c r="D899" s="115"/>
      <c r="E899" s="115"/>
      <c r="F899" s="115"/>
      <c r="G899" s="115"/>
      <c r="H899" s="115"/>
    </row>
    <row r="900" spans="3:8">
      <c r="C900" s="115"/>
      <c r="D900" s="115"/>
      <c r="E900" s="115"/>
      <c r="F900" s="115"/>
      <c r="G900" s="115"/>
      <c r="H900" s="115"/>
    </row>
    <row r="901" spans="3:8">
      <c r="C901" s="115"/>
      <c r="D901" s="115"/>
      <c r="E901" s="115"/>
      <c r="F901" s="115"/>
      <c r="G901" s="115"/>
      <c r="H901" s="115"/>
    </row>
    <row r="902" spans="3:8">
      <c r="C902" s="115"/>
      <c r="D902" s="115"/>
      <c r="E902" s="115"/>
      <c r="F902" s="115"/>
      <c r="G902" s="115"/>
      <c r="H902" s="115"/>
    </row>
    <row r="903" spans="3:8">
      <c r="C903" s="115"/>
      <c r="D903" s="115"/>
      <c r="E903" s="115"/>
      <c r="F903" s="115"/>
      <c r="G903" s="115"/>
      <c r="H903" s="115"/>
    </row>
    <row r="904" spans="3:8">
      <c r="C904" s="115"/>
      <c r="D904" s="115"/>
      <c r="E904" s="115"/>
      <c r="F904" s="115"/>
      <c r="G904" s="115"/>
      <c r="H904" s="115"/>
    </row>
    <row r="905" spans="3:8">
      <c r="C905" s="115"/>
      <c r="D905" s="115"/>
      <c r="E905" s="115"/>
      <c r="F905" s="115"/>
      <c r="G905" s="115"/>
      <c r="H905" s="115"/>
    </row>
    <row r="906" spans="3:8">
      <c r="C906" s="115"/>
      <c r="D906" s="115"/>
      <c r="E906" s="115"/>
      <c r="F906" s="115"/>
      <c r="G906" s="115"/>
      <c r="H906" s="115"/>
    </row>
    <row r="907" spans="3:8">
      <c r="C907" s="115"/>
      <c r="D907" s="115"/>
      <c r="E907" s="115"/>
      <c r="F907" s="115"/>
      <c r="G907" s="115"/>
      <c r="H907" s="115"/>
    </row>
    <row r="908" spans="3:8">
      <c r="C908" s="115"/>
      <c r="D908" s="115"/>
      <c r="E908" s="115"/>
      <c r="F908" s="115"/>
      <c r="G908" s="115"/>
      <c r="H908" s="115"/>
    </row>
    <row r="909" spans="3:8">
      <c r="C909" s="115"/>
      <c r="D909" s="115"/>
      <c r="E909" s="115"/>
      <c r="F909" s="115"/>
      <c r="G909" s="115"/>
      <c r="H909" s="115"/>
    </row>
    <row r="910" spans="3:8">
      <c r="C910" s="115"/>
      <c r="D910" s="115"/>
      <c r="E910" s="115"/>
      <c r="F910" s="115"/>
      <c r="G910" s="115"/>
      <c r="H910" s="115"/>
    </row>
    <row r="911" spans="3:8">
      <c r="C911" s="115"/>
      <c r="D911" s="115"/>
      <c r="E911" s="115"/>
      <c r="F911" s="115"/>
      <c r="G911" s="115"/>
      <c r="H911" s="115"/>
    </row>
    <row r="912" spans="3:8">
      <c r="C912" s="115"/>
      <c r="D912" s="115"/>
      <c r="E912" s="115"/>
      <c r="F912" s="115"/>
      <c r="G912" s="115"/>
      <c r="H912" s="115"/>
    </row>
    <row r="913" spans="3:8">
      <c r="C913" s="115"/>
      <c r="D913" s="115"/>
      <c r="E913" s="115"/>
      <c r="F913" s="115"/>
      <c r="G913" s="115"/>
      <c r="H913" s="115"/>
    </row>
    <row r="914" spans="3:8">
      <c r="C914" s="115"/>
      <c r="D914" s="115"/>
      <c r="E914" s="115"/>
      <c r="F914" s="115"/>
      <c r="G914" s="115"/>
      <c r="H914" s="115"/>
    </row>
    <row r="915" spans="3:8">
      <c r="C915" s="115"/>
      <c r="D915" s="115"/>
      <c r="E915" s="115"/>
      <c r="F915" s="115"/>
      <c r="G915" s="115"/>
      <c r="H915" s="115"/>
    </row>
    <row r="916" spans="3:8">
      <c r="C916" s="115"/>
      <c r="D916" s="115"/>
      <c r="E916" s="115"/>
      <c r="F916" s="115"/>
      <c r="G916" s="115"/>
      <c r="H916" s="115"/>
    </row>
    <row r="917" spans="3:8">
      <c r="C917" s="115"/>
      <c r="D917" s="115"/>
      <c r="E917" s="115"/>
      <c r="F917" s="115"/>
      <c r="G917" s="115"/>
      <c r="H917" s="115"/>
    </row>
    <row r="918" spans="3:8">
      <c r="C918" s="115"/>
      <c r="D918" s="115"/>
      <c r="E918" s="115"/>
      <c r="F918" s="115"/>
      <c r="G918" s="115"/>
      <c r="H918" s="115"/>
    </row>
    <row r="919" spans="3:8">
      <c r="C919" s="115"/>
      <c r="D919" s="115"/>
      <c r="E919" s="115"/>
      <c r="F919" s="115"/>
      <c r="G919" s="115"/>
      <c r="H919" s="115"/>
    </row>
    <row r="920" spans="3:8">
      <c r="C920" s="115"/>
      <c r="D920" s="115"/>
      <c r="E920" s="115"/>
      <c r="F920" s="115"/>
      <c r="G920" s="115"/>
      <c r="H920" s="115"/>
    </row>
    <row r="921" spans="3:8">
      <c r="C921" s="115"/>
      <c r="D921" s="115"/>
      <c r="E921" s="115"/>
      <c r="F921" s="115"/>
      <c r="G921" s="115"/>
      <c r="H921" s="115"/>
    </row>
    <row r="922" spans="3:8">
      <c r="C922" s="115"/>
      <c r="D922" s="115"/>
      <c r="E922" s="115"/>
      <c r="F922" s="115"/>
      <c r="G922" s="115"/>
      <c r="H922" s="115"/>
    </row>
    <row r="923" spans="3:8">
      <c r="C923" s="115"/>
      <c r="D923" s="115"/>
      <c r="E923" s="115"/>
      <c r="F923" s="115"/>
      <c r="G923" s="115"/>
      <c r="H923" s="115"/>
    </row>
    <row r="924" spans="3:8">
      <c r="C924" s="115"/>
      <c r="D924" s="115"/>
      <c r="E924" s="115"/>
      <c r="F924" s="115"/>
      <c r="G924" s="115"/>
      <c r="H924" s="115"/>
    </row>
    <row r="925" spans="3:8">
      <c r="C925" s="115"/>
      <c r="D925" s="115"/>
      <c r="E925" s="115"/>
      <c r="F925" s="115"/>
      <c r="G925" s="115"/>
      <c r="H925" s="115"/>
    </row>
    <row r="926" spans="3:8">
      <c r="C926" s="115"/>
      <c r="D926" s="115"/>
      <c r="E926" s="115"/>
      <c r="F926" s="115"/>
      <c r="G926" s="115"/>
      <c r="H926" s="115"/>
    </row>
    <row r="927" spans="3:8">
      <c r="C927" s="115"/>
      <c r="D927" s="115"/>
      <c r="E927" s="115"/>
      <c r="F927" s="115"/>
      <c r="G927" s="115"/>
      <c r="H927" s="115"/>
    </row>
    <row r="928" spans="3:8">
      <c r="C928" s="115"/>
      <c r="D928" s="115"/>
      <c r="E928" s="115"/>
      <c r="F928" s="115"/>
      <c r="G928" s="115"/>
      <c r="H928" s="115"/>
    </row>
    <row r="929" spans="3:8">
      <c r="C929" s="115"/>
      <c r="D929" s="115"/>
      <c r="E929" s="115"/>
      <c r="F929" s="115"/>
      <c r="G929" s="115"/>
      <c r="H929" s="115"/>
    </row>
    <row r="930" spans="3:8">
      <c r="C930" s="115"/>
      <c r="D930" s="115"/>
      <c r="E930" s="115"/>
      <c r="F930" s="115"/>
      <c r="G930" s="115"/>
      <c r="H930" s="115"/>
    </row>
    <row r="931" spans="3:8">
      <c r="C931" s="115"/>
      <c r="D931" s="115"/>
      <c r="E931" s="115"/>
      <c r="F931" s="115"/>
      <c r="G931" s="115"/>
      <c r="H931" s="115"/>
    </row>
    <row r="932" spans="3:8">
      <c r="C932" s="115"/>
      <c r="D932" s="115"/>
      <c r="E932" s="115"/>
      <c r="F932" s="115"/>
      <c r="G932" s="115"/>
      <c r="H932" s="115"/>
    </row>
    <row r="933" spans="3:8">
      <c r="C933" s="115"/>
      <c r="D933" s="115"/>
      <c r="E933" s="115"/>
      <c r="F933" s="115"/>
      <c r="G933" s="115"/>
      <c r="H933" s="115"/>
    </row>
    <row r="934" spans="3:8">
      <c r="C934" s="115"/>
      <c r="D934" s="115"/>
      <c r="E934" s="115"/>
      <c r="F934" s="115"/>
      <c r="G934" s="115"/>
      <c r="H934" s="115"/>
    </row>
    <row r="935" spans="3:8">
      <c r="C935" s="115"/>
      <c r="D935" s="115"/>
      <c r="E935" s="115"/>
      <c r="F935" s="115"/>
      <c r="G935" s="115"/>
      <c r="H935" s="115"/>
    </row>
    <row r="936" spans="3:8">
      <c r="C936" s="115"/>
      <c r="D936" s="115"/>
      <c r="E936" s="115"/>
      <c r="F936" s="115"/>
      <c r="G936" s="115"/>
      <c r="H936" s="115"/>
    </row>
    <row r="937" spans="3:8">
      <c r="C937" s="115"/>
      <c r="D937" s="115"/>
      <c r="E937" s="115"/>
      <c r="F937" s="115"/>
      <c r="G937" s="115"/>
      <c r="H937" s="115"/>
    </row>
    <row r="938" spans="3:8">
      <c r="C938" s="115"/>
      <c r="D938" s="115"/>
      <c r="E938" s="115"/>
      <c r="F938" s="115"/>
      <c r="G938" s="115"/>
      <c r="H938" s="115"/>
    </row>
    <row r="939" spans="3:8">
      <c r="C939" s="115"/>
      <c r="D939" s="115"/>
      <c r="E939" s="115"/>
      <c r="F939" s="115"/>
      <c r="G939" s="115"/>
      <c r="H939" s="115"/>
    </row>
    <row r="940" spans="3:8">
      <c r="C940" s="115"/>
      <c r="D940" s="115"/>
      <c r="E940" s="115"/>
      <c r="F940" s="115"/>
      <c r="G940" s="115"/>
      <c r="H940" s="115"/>
    </row>
    <row r="941" spans="3:8">
      <c r="C941" s="115"/>
      <c r="D941" s="115"/>
      <c r="E941" s="115"/>
      <c r="F941" s="115"/>
      <c r="G941" s="115"/>
      <c r="H941" s="115"/>
    </row>
    <row r="942" spans="3:8">
      <c r="C942" s="115"/>
      <c r="D942" s="115"/>
      <c r="E942" s="115"/>
      <c r="F942" s="115"/>
      <c r="G942" s="115"/>
      <c r="H942" s="115"/>
    </row>
    <row r="943" spans="3:8">
      <c r="C943" s="115"/>
      <c r="D943" s="115"/>
      <c r="E943" s="115"/>
      <c r="F943" s="115"/>
      <c r="G943" s="115"/>
      <c r="H943" s="115"/>
    </row>
    <row r="944" spans="3:8">
      <c r="C944" s="115"/>
      <c r="D944" s="115"/>
      <c r="E944" s="115"/>
      <c r="F944" s="115"/>
      <c r="G944" s="115"/>
      <c r="H944" s="115"/>
    </row>
    <row r="945" spans="3:8">
      <c r="C945" s="115"/>
      <c r="D945" s="115"/>
      <c r="E945" s="115"/>
      <c r="F945" s="115"/>
      <c r="G945" s="115"/>
      <c r="H945" s="115"/>
    </row>
    <row r="946" spans="3:8">
      <c r="C946" s="115"/>
      <c r="D946" s="115"/>
      <c r="E946" s="115"/>
      <c r="F946" s="115"/>
      <c r="G946" s="115"/>
      <c r="H946" s="115"/>
    </row>
    <row r="947" spans="3:8">
      <c r="C947" s="115"/>
      <c r="D947" s="115"/>
      <c r="E947" s="115"/>
      <c r="F947" s="115"/>
      <c r="G947" s="115"/>
      <c r="H947" s="115"/>
    </row>
    <row r="948" spans="3:8">
      <c r="C948" s="115"/>
      <c r="D948" s="115"/>
      <c r="E948" s="115"/>
      <c r="F948" s="115"/>
      <c r="G948" s="115"/>
      <c r="H948" s="115"/>
    </row>
    <row r="949" spans="3:8">
      <c r="C949" s="115"/>
      <c r="D949" s="115"/>
      <c r="E949" s="115"/>
      <c r="F949" s="115"/>
      <c r="G949" s="115"/>
      <c r="H949" s="115"/>
    </row>
    <row r="950" spans="3:8">
      <c r="C950" s="115"/>
      <c r="D950" s="115"/>
      <c r="E950" s="115"/>
      <c r="F950" s="115"/>
      <c r="G950" s="115"/>
      <c r="H950" s="115"/>
    </row>
    <row r="951" spans="3:8">
      <c r="C951" s="115"/>
      <c r="D951" s="115"/>
      <c r="E951" s="115"/>
      <c r="F951" s="115"/>
      <c r="G951" s="115"/>
      <c r="H951" s="115"/>
    </row>
    <row r="952" spans="3:8">
      <c r="C952" s="115"/>
      <c r="D952" s="115"/>
      <c r="E952" s="115"/>
      <c r="F952" s="115"/>
      <c r="G952" s="115"/>
      <c r="H952" s="115"/>
    </row>
    <row r="953" spans="3:8">
      <c r="C953" s="115"/>
      <c r="D953" s="115"/>
      <c r="E953" s="115"/>
      <c r="F953" s="115"/>
      <c r="G953" s="115"/>
      <c r="H953" s="115"/>
    </row>
    <row r="954" spans="3:8">
      <c r="C954" s="115"/>
      <c r="D954" s="115"/>
      <c r="E954" s="115"/>
      <c r="F954" s="115"/>
      <c r="G954" s="115"/>
      <c r="H954" s="115"/>
    </row>
    <row r="955" spans="3:8">
      <c r="C955" s="115"/>
      <c r="D955" s="115"/>
      <c r="E955" s="115"/>
      <c r="F955" s="115"/>
      <c r="G955" s="115"/>
      <c r="H955" s="115"/>
    </row>
    <row r="956" spans="3:8">
      <c r="C956" s="115"/>
      <c r="D956" s="115"/>
      <c r="E956" s="115"/>
      <c r="F956" s="115"/>
      <c r="G956" s="115"/>
      <c r="H956" s="115"/>
    </row>
    <row r="957" spans="3:8">
      <c r="C957" s="115"/>
      <c r="D957" s="115"/>
      <c r="E957" s="115"/>
      <c r="F957" s="115"/>
      <c r="G957" s="115"/>
      <c r="H957" s="115"/>
    </row>
    <row r="958" spans="3:8">
      <c r="C958" s="115"/>
      <c r="D958" s="115"/>
      <c r="E958" s="115"/>
      <c r="F958" s="115"/>
      <c r="G958" s="115"/>
      <c r="H958" s="115"/>
    </row>
    <row r="959" spans="3:8">
      <c r="C959" s="115"/>
      <c r="D959" s="115"/>
      <c r="E959" s="115"/>
      <c r="F959" s="115"/>
      <c r="G959" s="115"/>
      <c r="H959" s="115"/>
    </row>
    <row r="960" spans="3:8">
      <c r="C960" s="115"/>
      <c r="D960" s="115"/>
      <c r="E960" s="115"/>
      <c r="F960" s="115"/>
      <c r="G960" s="115"/>
      <c r="H960" s="115"/>
    </row>
    <row r="961" spans="3:8">
      <c r="C961" s="115"/>
      <c r="D961" s="115"/>
      <c r="E961" s="115"/>
      <c r="F961" s="115"/>
      <c r="G961" s="115"/>
      <c r="H961" s="115"/>
    </row>
    <row r="962" spans="3:8">
      <c r="C962" s="115"/>
      <c r="D962" s="115"/>
      <c r="E962" s="115"/>
      <c r="F962" s="115"/>
      <c r="G962" s="115"/>
      <c r="H962" s="115"/>
    </row>
    <row r="963" spans="3:8">
      <c r="C963" s="115"/>
      <c r="D963" s="115"/>
      <c r="E963" s="115"/>
      <c r="F963" s="115"/>
      <c r="G963" s="115"/>
      <c r="H963" s="115"/>
    </row>
    <row r="964" spans="3:8">
      <c r="C964" s="115"/>
      <c r="D964" s="115"/>
      <c r="E964" s="115"/>
      <c r="F964" s="115"/>
      <c r="G964" s="115"/>
      <c r="H964" s="115"/>
    </row>
    <row r="965" spans="3:8">
      <c r="C965" s="115"/>
      <c r="D965" s="115"/>
      <c r="E965" s="115"/>
      <c r="F965" s="115"/>
      <c r="G965" s="115"/>
      <c r="H965" s="115"/>
    </row>
    <row r="966" spans="3:8">
      <c r="C966" s="115"/>
      <c r="D966" s="115"/>
      <c r="E966" s="115"/>
      <c r="F966" s="115"/>
      <c r="G966" s="115"/>
      <c r="H966" s="115"/>
    </row>
    <row r="967" spans="3:8">
      <c r="C967" s="115"/>
      <c r="D967" s="115"/>
      <c r="E967" s="115"/>
      <c r="F967" s="115"/>
      <c r="G967" s="115"/>
      <c r="H967" s="115"/>
    </row>
    <row r="968" spans="3:8">
      <c r="C968" s="115"/>
      <c r="D968" s="115"/>
      <c r="E968" s="115"/>
      <c r="F968" s="115"/>
      <c r="G968" s="115"/>
      <c r="H968" s="115"/>
    </row>
    <row r="969" spans="3:8">
      <c r="C969" s="115"/>
      <c r="D969" s="115"/>
      <c r="E969" s="115"/>
      <c r="F969" s="115"/>
      <c r="G969" s="115"/>
      <c r="H969" s="115"/>
    </row>
    <row r="970" spans="3:8">
      <c r="C970" s="115"/>
      <c r="D970" s="115"/>
      <c r="E970" s="115"/>
      <c r="F970" s="115"/>
      <c r="G970" s="115"/>
      <c r="H970" s="115"/>
    </row>
    <row r="971" spans="3:8">
      <c r="C971" s="115"/>
      <c r="D971" s="115"/>
      <c r="E971" s="115"/>
      <c r="F971" s="115"/>
      <c r="G971" s="115"/>
      <c r="H971" s="115"/>
    </row>
    <row r="972" spans="3:8">
      <c r="C972" s="115"/>
      <c r="D972" s="115"/>
      <c r="E972" s="115"/>
      <c r="F972" s="115"/>
      <c r="G972" s="115"/>
      <c r="H972" s="115"/>
    </row>
    <row r="973" spans="3:8">
      <c r="C973" s="115"/>
      <c r="D973" s="115"/>
      <c r="E973" s="115"/>
      <c r="F973" s="115"/>
      <c r="G973" s="115"/>
      <c r="H973" s="115"/>
    </row>
    <row r="974" spans="3:8">
      <c r="C974" s="115"/>
      <c r="D974" s="115"/>
      <c r="E974" s="115"/>
      <c r="F974" s="115"/>
      <c r="G974" s="115"/>
      <c r="H974" s="115"/>
    </row>
    <row r="975" spans="3:8">
      <c r="C975" s="115"/>
      <c r="D975" s="115"/>
      <c r="E975" s="115"/>
      <c r="F975" s="115"/>
      <c r="G975" s="115"/>
      <c r="H975" s="115"/>
    </row>
    <row r="976" spans="3:8">
      <c r="C976" s="115"/>
      <c r="D976" s="115"/>
      <c r="E976" s="115"/>
      <c r="F976" s="115"/>
      <c r="G976" s="115"/>
      <c r="H976" s="115"/>
    </row>
    <row r="977" spans="3:8">
      <c r="C977" s="115"/>
      <c r="D977" s="115"/>
      <c r="E977" s="115"/>
      <c r="F977" s="115"/>
      <c r="G977" s="115"/>
      <c r="H977" s="115"/>
    </row>
    <row r="978" spans="3:8">
      <c r="C978" s="115"/>
      <c r="D978" s="115"/>
      <c r="E978" s="115"/>
      <c r="F978" s="115"/>
      <c r="G978" s="115"/>
      <c r="H978" s="115"/>
    </row>
    <row r="979" spans="3:8">
      <c r="C979" s="115"/>
      <c r="D979" s="115"/>
      <c r="E979" s="115"/>
      <c r="F979" s="115"/>
      <c r="G979" s="115"/>
      <c r="H979" s="115"/>
    </row>
    <row r="980" spans="3:8">
      <c r="C980" s="115"/>
      <c r="D980" s="115"/>
      <c r="E980" s="115"/>
      <c r="F980" s="115"/>
      <c r="G980" s="115"/>
      <c r="H980" s="115"/>
    </row>
    <row r="981" spans="3:8">
      <c r="C981" s="115"/>
      <c r="D981" s="115"/>
      <c r="E981" s="115"/>
      <c r="F981" s="115"/>
      <c r="G981" s="115"/>
      <c r="H981" s="115"/>
    </row>
    <row r="982" spans="3:8">
      <c r="C982" s="115"/>
      <c r="D982" s="115"/>
      <c r="E982" s="115"/>
      <c r="F982" s="115"/>
      <c r="G982" s="115"/>
      <c r="H982" s="115"/>
    </row>
    <row r="983" spans="3:8">
      <c r="C983" s="115"/>
      <c r="D983" s="115"/>
      <c r="E983" s="115"/>
      <c r="F983" s="115"/>
      <c r="G983" s="115"/>
      <c r="H983" s="115"/>
    </row>
    <row r="984" spans="3:8">
      <c r="C984" s="115"/>
      <c r="D984" s="115"/>
      <c r="E984" s="115"/>
      <c r="F984" s="115"/>
      <c r="G984" s="115"/>
      <c r="H984" s="115"/>
    </row>
    <row r="985" spans="3:8">
      <c r="C985" s="115"/>
      <c r="D985" s="115"/>
      <c r="E985" s="115"/>
      <c r="F985" s="115"/>
      <c r="G985" s="115"/>
      <c r="H985" s="115"/>
    </row>
    <row r="986" spans="3:8">
      <c r="C986" s="115"/>
      <c r="D986" s="115"/>
      <c r="E986" s="115"/>
      <c r="F986" s="115"/>
      <c r="G986" s="115"/>
      <c r="H986" s="115"/>
    </row>
    <row r="987" spans="3:8">
      <c r="C987" s="115"/>
      <c r="D987" s="115"/>
      <c r="E987" s="115"/>
      <c r="F987" s="115"/>
      <c r="G987" s="115"/>
      <c r="H987" s="115"/>
    </row>
    <row r="988" spans="3:8">
      <c r="C988" s="115"/>
      <c r="D988" s="115"/>
      <c r="E988" s="115"/>
      <c r="F988" s="115"/>
      <c r="G988" s="115"/>
      <c r="H988" s="115"/>
    </row>
    <row r="989" spans="3:8">
      <c r="C989" s="115"/>
      <c r="D989" s="115"/>
      <c r="E989" s="115"/>
      <c r="F989" s="115"/>
      <c r="G989" s="115"/>
      <c r="H989" s="115"/>
    </row>
    <row r="990" spans="3:8">
      <c r="C990" s="115"/>
      <c r="D990" s="115"/>
      <c r="E990" s="115"/>
      <c r="F990" s="115"/>
      <c r="G990" s="115"/>
      <c r="H990" s="115"/>
    </row>
    <row r="991" spans="3:8">
      <c r="C991" s="115"/>
      <c r="D991" s="115"/>
      <c r="E991" s="115"/>
      <c r="F991" s="115"/>
      <c r="G991" s="115"/>
      <c r="H991" s="115"/>
    </row>
    <row r="992" spans="3:8">
      <c r="C992" s="115"/>
      <c r="D992" s="115"/>
      <c r="E992" s="115"/>
      <c r="F992" s="115"/>
      <c r="G992" s="115"/>
      <c r="H992" s="115"/>
    </row>
    <row r="993" spans="3:8">
      <c r="C993" s="115"/>
      <c r="D993" s="115"/>
      <c r="E993" s="115"/>
      <c r="F993" s="115"/>
      <c r="G993" s="115"/>
      <c r="H993" s="115"/>
    </row>
    <row r="994" spans="3:8">
      <c r="C994" s="115"/>
      <c r="D994" s="115"/>
      <c r="E994" s="115"/>
      <c r="F994" s="115"/>
      <c r="G994" s="115"/>
      <c r="H994" s="115"/>
    </row>
    <row r="995" spans="3:8">
      <c r="C995" s="115"/>
      <c r="D995" s="115"/>
      <c r="E995" s="115"/>
      <c r="F995" s="115"/>
      <c r="G995" s="115"/>
      <c r="H995" s="115"/>
    </row>
    <row r="996" spans="3:8">
      <c r="C996" s="115"/>
      <c r="D996" s="115"/>
      <c r="E996" s="115"/>
      <c r="F996" s="115"/>
      <c r="G996" s="115"/>
      <c r="H996" s="115"/>
    </row>
    <row r="997" spans="3:8">
      <c r="C997" s="115"/>
      <c r="D997" s="115"/>
      <c r="E997" s="115"/>
      <c r="F997" s="115"/>
      <c r="G997" s="115"/>
      <c r="H997" s="115"/>
    </row>
    <row r="998" spans="3:8">
      <c r="C998" s="115"/>
      <c r="D998" s="115"/>
      <c r="E998" s="115"/>
      <c r="F998" s="115"/>
      <c r="G998" s="115"/>
      <c r="H998" s="115"/>
    </row>
    <row r="999" spans="3:8">
      <c r="C999" s="115"/>
      <c r="D999" s="115"/>
      <c r="E999" s="115"/>
      <c r="F999" s="115"/>
      <c r="G999" s="115"/>
      <c r="H999" s="115"/>
    </row>
    <row r="1000" spans="3:8">
      <c r="C1000" s="115"/>
      <c r="D1000" s="115"/>
      <c r="E1000" s="115"/>
      <c r="F1000" s="115"/>
      <c r="G1000" s="115"/>
      <c r="H1000" s="115"/>
    </row>
    <row r="1001" spans="3:8">
      <c r="C1001" s="115"/>
      <c r="D1001" s="115"/>
      <c r="E1001" s="115"/>
      <c r="F1001" s="115"/>
      <c r="G1001" s="115"/>
      <c r="H1001" s="115"/>
    </row>
    <row r="1002" spans="3:8">
      <c r="C1002" s="115"/>
      <c r="D1002" s="115"/>
      <c r="E1002" s="115"/>
      <c r="F1002" s="115"/>
      <c r="G1002" s="115"/>
      <c r="H1002" s="115"/>
    </row>
    <row r="1003" spans="3:8">
      <c r="C1003" s="115"/>
      <c r="D1003" s="115"/>
      <c r="E1003" s="115"/>
      <c r="F1003" s="115"/>
      <c r="G1003" s="115"/>
      <c r="H1003" s="115"/>
    </row>
    <row r="1004" spans="3:8">
      <c r="C1004" s="115"/>
      <c r="D1004" s="115"/>
      <c r="E1004" s="115"/>
      <c r="F1004" s="115"/>
      <c r="G1004" s="115"/>
      <c r="H1004" s="115"/>
    </row>
    <row r="1005" spans="3:8">
      <c r="C1005" s="115"/>
      <c r="D1005" s="115"/>
      <c r="E1005" s="115"/>
      <c r="F1005" s="115"/>
      <c r="G1005" s="115"/>
      <c r="H1005" s="115"/>
    </row>
    <row r="1006" spans="3:8">
      <c r="C1006" s="115"/>
      <c r="D1006" s="115"/>
      <c r="E1006" s="115"/>
      <c r="F1006" s="115"/>
      <c r="G1006" s="115"/>
      <c r="H1006" s="115"/>
    </row>
    <row r="1007" spans="3:8">
      <c r="C1007" s="115"/>
      <c r="D1007" s="115"/>
      <c r="E1007" s="115"/>
      <c r="F1007" s="115"/>
      <c r="G1007" s="115"/>
      <c r="H1007" s="115"/>
    </row>
    <row r="1008" spans="3:8">
      <c r="C1008" s="115"/>
      <c r="D1008" s="115"/>
      <c r="E1008" s="115"/>
      <c r="F1008" s="115"/>
      <c r="G1008" s="115"/>
      <c r="H1008" s="115"/>
    </row>
    <row r="1009" spans="3:8">
      <c r="C1009" s="115"/>
      <c r="D1009" s="115"/>
      <c r="E1009" s="115"/>
      <c r="F1009" s="115"/>
      <c r="G1009" s="115"/>
      <c r="H1009" s="115"/>
    </row>
    <row r="1010" spans="3:8">
      <c r="C1010" s="115"/>
      <c r="D1010" s="115"/>
      <c r="E1010" s="115"/>
      <c r="F1010" s="115"/>
      <c r="G1010" s="115"/>
      <c r="H1010" s="115"/>
    </row>
    <row r="1011" spans="3:8">
      <c r="C1011" s="115"/>
      <c r="D1011" s="115"/>
      <c r="E1011" s="115"/>
      <c r="F1011" s="115"/>
      <c r="G1011" s="115"/>
      <c r="H1011" s="115"/>
    </row>
    <row r="1012" spans="3:8">
      <c r="C1012" s="115"/>
      <c r="D1012" s="115"/>
      <c r="E1012" s="115"/>
      <c r="F1012" s="115"/>
      <c r="G1012" s="115"/>
      <c r="H1012" s="115"/>
    </row>
    <row r="1013" spans="3:8">
      <c r="C1013" s="115"/>
      <c r="D1013" s="115"/>
      <c r="E1013" s="115"/>
      <c r="F1013" s="115"/>
      <c r="G1013" s="115"/>
      <c r="H1013" s="115"/>
    </row>
    <row r="1014" spans="3:8">
      <c r="C1014" s="115"/>
      <c r="D1014" s="115"/>
      <c r="E1014" s="115"/>
      <c r="F1014" s="115"/>
      <c r="G1014" s="115"/>
      <c r="H1014" s="115"/>
    </row>
    <row r="1015" spans="3:8">
      <c r="C1015" s="115"/>
      <c r="D1015" s="115"/>
      <c r="E1015" s="115"/>
      <c r="F1015" s="115"/>
      <c r="G1015" s="115"/>
      <c r="H1015" s="115"/>
    </row>
    <row r="1016" spans="3:8">
      <c r="C1016" s="115"/>
      <c r="D1016" s="115"/>
      <c r="E1016" s="115"/>
      <c r="F1016" s="115"/>
      <c r="G1016" s="115"/>
      <c r="H1016" s="115"/>
    </row>
    <row r="1017" spans="3:8">
      <c r="C1017" s="115"/>
      <c r="D1017" s="115"/>
      <c r="E1017" s="115"/>
      <c r="F1017" s="115"/>
      <c r="G1017" s="115"/>
      <c r="H1017" s="115"/>
    </row>
    <row r="1018" spans="3:8">
      <c r="C1018" s="115"/>
      <c r="D1018" s="115"/>
      <c r="E1018" s="115"/>
      <c r="F1018" s="115"/>
      <c r="G1018" s="115"/>
      <c r="H1018" s="115"/>
    </row>
    <row r="1019" spans="3:8">
      <c r="C1019" s="115"/>
      <c r="D1019" s="115"/>
      <c r="E1019" s="115"/>
      <c r="F1019" s="115"/>
      <c r="G1019" s="115"/>
      <c r="H1019" s="115"/>
    </row>
    <row r="1020" spans="3:8">
      <c r="C1020" s="115"/>
      <c r="D1020" s="115"/>
      <c r="E1020" s="115"/>
      <c r="F1020" s="115"/>
      <c r="G1020" s="115"/>
      <c r="H1020" s="115"/>
    </row>
    <row r="1021" spans="3:8">
      <c r="C1021" s="115"/>
      <c r="D1021" s="115"/>
      <c r="E1021" s="115"/>
      <c r="F1021" s="115"/>
      <c r="G1021" s="115"/>
      <c r="H1021" s="115"/>
    </row>
    <row r="1022" spans="3:8">
      <c r="C1022" s="115"/>
      <c r="D1022" s="115"/>
      <c r="E1022" s="115"/>
      <c r="F1022" s="115"/>
      <c r="G1022" s="115"/>
      <c r="H1022" s="115"/>
    </row>
    <row r="1023" spans="3:8">
      <c r="C1023" s="115"/>
      <c r="D1023" s="115"/>
      <c r="E1023" s="115"/>
      <c r="F1023" s="115"/>
      <c r="G1023" s="115"/>
      <c r="H1023" s="115"/>
    </row>
    <row r="1024" spans="3:8">
      <c r="C1024" s="115"/>
      <c r="D1024" s="115"/>
      <c r="E1024" s="115"/>
      <c r="F1024" s="115"/>
      <c r="G1024" s="115"/>
      <c r="H1024" s="115"/>
    </row>
    <row r="1025" spans="3:8">
      <c r="C1025" s="115"/>
      <c r="D1025" s="115"/>
      <c r="E1025" s="115"/>
      <c r="F1025" s="115"/>
      <c r="G1025" s="115"/>
      <c r="H1025" s="115"/>
    </row>
    <row r="1026" spans="3:8">
      <c r="C1026" s="115"/>
      <c r="D1026" s="115"/>
      <c r="E1026" s="115"/>
      <c r="F1026" s="115"/>
      <c r="G1026" s="115"/>
      <c r="H1026" s="115"/>
    </row>
    <row r="1027" spans="3:8">
      <c r="C1027" s="115"/>
      <c r="D1027" s="115"/>
      <c r="E1027" s="115"/>
      <c r="F1027" s="115"/>
      <c r="G1027" s="115"/>
      <c r="H1027" s="115"/>
    </row>
    <row r="1028" spans="3:8">
      <c r="C1028" s="115"/>
      <c r="D1028" s="115"/>
      <c r="E1028" s="115"/>
      <c r="F1028" s="115"/>
      <c r="G1028" s="115"/>
      <c r="H1028" s="115"/>
    </row>
    <row r="1029" spans="3:8">
      <c r="C1029" s="115"/>
      <c r="D1029" s="115"/>
      <c r="E1029" s="115"/>
      <c r="F1029" s="115"/>
      <c r="G1029" s="115"/>
      <c r="H1029" s="115"/>
    </row>
    <row r="1030" spans="3:8">
      <c r="C1030" s="115"/>
      <c r="D1030" s="115"/>
      <c r="E1030" s="115"/>
      <c r="F1030" s="115"/>
      <c r="G1030" s="115"/>
      <c r="H1030" s="115"/>
    </row>
    <row r="1031" spans="3:8">
      <c r="C1031" s="115"/>
      <c r="D1031" s="115"/>
      <c r="E1031" s="115"/>
      <c r="F1031" s="115"/>
      <c r="G1031" s="115"/>
      <c r="H1031" s="115"/>
    </row>
    <row r="1032" spans="3:8">
      <c r="C1032" s="115"/>
      <c r="D1032" s="115"/>
      <c r="E1032" s="115"/>
      <c r="F1032" s="115"/>
      <c r="G1032" s="115"/>
      <c r="H1032" s="115"/>
    </row>
    <row r="1033" spans="3:8">
      <c r="C1033" s="115"/>
      <c r="D1033" s="115"/>
      <c r="E1033" s="115"/>
      <c r="F1033" s="115"/>
      <c r="G1033" s="115"/>
      <c r="H1033" s="115"/>
    </row>
    <row r="1034" spans="3:8">
      <c r="C1034" s="115"/>
      <c r="D1034" s="115"/>
      <c r="E1034" s="115"/>
      <c r="F1034" s="115"/>
      <c r="G1034" s="115"/>
      <c r="H1034" s="115"/>
    </row>
    <row r="1035" spans="3:8">
      <c r="C1035" s="115"/>
      <c r="D1035" s="115"/>
      <c r="E1035" s="115"/>
      <c r="F1035" s="115"/>
      <c r="G1035" s="115"/>
      <c r="H1035" s="115"/>
    </row>
    <row r="1036" spans="3:8">
      <c r="C1036" s="115"/>
      <c r="D1036" s="115"/>
      <c r="E1036" s="115"/>
      <c r="F1036" s="115"/>
      <c r="G1036" s="115"/>
      <c r="H1036" s="115"/>
    </row>
    <row r="1037" spans="3:8">
      <c r="C1037" s="115"/>
      <c r="D1037" s="115"/>
      <c r="E1037" s="115"/>
      <c r="F1037" s="115"/>
      <c r="G1037" s="115"/>
      <c r="H1037" s="115"/>
    </row>
    <row r="1038" spans="3:8">
      <c r="C1038" s="115"/>
      <c r="D1038" s="115"/>
      <c r="E1038" s="115"/>
      <c r="F1038" s="115"/>
      <c r="G1038" s="115"/>
      <c r="H1038" s="115"/>
    </row>
    <row r="1039" spans="3:8">
      <c r="C1039" s="115"/>
      <c r="D1039" s="115"/>
      <c r="E1039" s="115"/>
      <c r="F1039" s="115"/>
      <c r="G1039" s="115"/>
      <c r="H1039" s="115"/>
    </row>
    <row r="1040" spans="3:8">
      <c r="C1040" s="115"/>
      <c r="D1040" s="115"/>
      <c r="E1040" s="115"/>
      <c r="F1040" s="115"/>
      <c r="G1040" s="115"/>
      <c r="H1040" s="115"/>
    </row>
    <row r="1041" spans="3:8">
      <c r="C1041" s="115"/>
      <c r="D1041" s="115"/>
      <c r="E1041" s="115"/>
      <c r="F1041" s="115"/>
      <c r="G1041" s="115"/>
      <c r="H1041" s="115"/>
    </row>
    <row r="1042" spans="3:8">
      <c r="C1042" s="115"/>
      <c r="D1042" s="115"/>
      <c r="E1042" s="115"/>
      <c r="F1042" s="115"/>
      <c r="G1042" s="115"/>
      <c r="H1042" s="115"/>
    </row>
    <row r="1043" spans="3:8">
      <c r="C1043" s="115"/>
      <c r="D1043" s="115"/>
      <c r="E1043" s="115"/>
      <c r="F1043" s="115"/>
      <c r="G1043" s="115"/>
      <c r="H1043" s="115"/>
    </row>
    <row r="1044" spans="3:8">
      <c r="C1044" s="115"/>
      <c r="D1044" s="115"/>
      <c r="E1044" s="115"/>
      <c r="F1044" s="115"/>
      <c r="G1044" s="115"/>
      <c r="H1044" s="115"/>
    </row>
    <row r="1045" spans="3:8">
      <c r="C1045" s="115"/>
      <c r="D1045" s="115"/>
      <c r="E1045" s="115"/>
      <c r="F1045" s="115"/>
      <c r="G1045" s="115"/>
      <c r="H1045" s="115"/>
    </row>
    <row r="1046" spans="3:8">
      <c r="C1046" s="115"/>
      <c r="D1046" s="115"/>
      <c r="E1046" s="115"/>
      <c r="F1046" s="115"/>
      <c r="G1046" s="115"/>
      <c r="H1046" s="115"/>
    </row>
    <row r="1047" spans="3:8">
      <c r="C1047" s="115"/>
      <c r="D1047" s="115"/>
      <c r="E1047" s="115"/>
      <c r="F1047" s="115"/>
      <c r="G1047" s="115"/>
      <c r="H1047" s="115"/>
    </row>
    <row r="1048" spans="3:8">
      <c r="C1048" s="115"/>
      <c r="D1048" s="115"/>
      <c r="E1048" s="115"/>
      <c r="F1048" s="115"/>
      <c r="G1048" s="115"/>
      <c r="H1048" s="115"/>
    </row>
    <row r="1049" spans="3:8">
      <c r="C1049" s="115"/>
      <c r="D1049" s="115"/>
      <c r="E1049" s="115"/>
      <c r="F1049" s="115"/>
      <c r="G1049" s="115"/>
      <c r="H1049" s="115"/>
    </row>
    <row r="1050" spans="3:8">
      <c r="C1050" s="115"/>
      <c r="D1050" s="115"/>
      <c r="E1050" s="115"/>
      <c r="F1050" s="115"/>
      <c r="G1050" s="115"/>
      <c r="H1050" s="115"/>
    </row>
    <row r="1051" spans="3:8">
      <c r="C1051" s="115"/>
      <c r="D1051" s="115"/>
      <c r="E1051" s="115"/>
      <c r="F1051" s="115"/>
      <c r="G1051" s="115"/>
      <c r="H1051" s="115"/>
    </row>
    <row r="1052" spans="3:8">
      <c r="C1052" s="115"/>
      <c r="D1052" s="115"/>
      <c r="E1052" s="115"/>
      <c r="F1052" s="115"/>
      <c r="G1052" s="115"/>
      <c r="H1052" s="115"/>
    </row>
    <row r="1053" spans="3:8">
      <c r="C1053" s="115"/>
      <c r="D1053" s="115"/>
      <c r="E1053" s="115"/>
      <c r="F1053" s="115"/>
      <c r="G1053" s="115"/>
      <c r="H1053" s="115"/>
    </row>
    <row r="1054" spans="3:8">
      <c r="C1054" s="115"/>
      <c r="D1054" s="115"/>
      <c r="E1054" s="115"/>
      <c r="F1054" s="115"/>
      <c r="G1054" s="115"/>
      <c r="H1054" s="115"/>
    </row>
    <row r="1055" spans="3:8">
      <c r="C1055" s="115"/>
      <c r="D1055" s="115"/>
      <c r="E1055" s="115"/>
      <c r="F1055" s="115"/>
      <c r="G1055" s="115"/>
      <c r="H1055" s="115"/>
    </row>
    <row r="1056" spans="3:8">
      <c r="C1056" s="115"/>
      <c r="D1056" s="115"/>
      <c r="E1056" s="115"/>
      <c r="F1056" s="115"/>
      <c r="G1056" s="115"/>
      <c r="H1056" s="115"/>
    </row>
    <row r="1057" spans="3:8">
      <c r="C1057" s="115"/>
      <c r="D1057" s="115"/>
      <c r="E1057" s="115"/>
      <c r="F1057" s="115"/>
      <c r="G1057" s="115"/>
      <c r="H1057" s="115"/>
    </row>
    <row r="1058" spans="3:8">
      <c r="C1058" s="115"/>
      <c r="D1058" s="115"/>
      <c r="E1058" s="115"/>
      <c r="F1058" s="115"/>
      <c r="G1058" s="115"/>
      <c r="H1058" s="115"/>
    </row>
    <row r="1059" spans="3:8">
      <c r="C1059" s="115"/>
      <c r="D1059" s="115"/>
      <c r="E1059" s="115"/>
      <c r="F1059" s="115"/>
      <c r="G1059" s="115"/>
      <c r="H1059" s="115"/>
    </row>
    <row r="1060" spans="3:8">
      <c r="C1060" s="115"/>
      <c r="D1060" s="115"/>
      <c r="E1060" s="115"/>
      <c r="F1060" s="115"/>
      <c r="G1060" s="115"/>
      <c r="H1060" s="115"/>
    </row>
    <row r="1061" spans="3:8">
      <c r="C1061" s="115"/>
      <c r="D1061" s="115"/>
      <c r="E1061" s="115"/>
      <c r="F1061" s="115"/>
      <c r="G1061" s="115"/>
      <c r="H1061" s="115"/>
    </row>
    <row r="1062" spans="3:8">
      <c r="C1062" s="115"/>
      <c r="D1062" s="115"/>
      <c r="E1062" s="115"/>
      <c r="F1062" s="115"/>
      <c r="G1062" s="115"/>
      <c r="H1062" s="115"/>
    </row>
    <row r="1063" spans="3:8">
      <c r="C1063" s="115"/>
      <c r="D1063" s="115"/>
      <c r="E1063" s="115"/>
      <c r="F1063" s="115"/>
      <c r="G1063" s="115"/>
      <c r="H1063" s="115"/>
    </row>
    <row r="1064" spans="3:8">
      <c r="C1064" s="115"/>
      <c r="D1064" s="115"/>
      <c r="E1064" s="115"/>
      <c r="F1064" s="115"/>
      <c r="G1064" s="115"/>
      <c r="H1064" s="115"/>
    </row>
    <row r="1065" spans="3:8">
      <c r="C1065" s="115"/>
      <c r="D1065" s="115"/>
      <c r="E1065" s="115"/>
      <c r="F1065" s="115"/>
      <c r="G1065" s="115"/>
      <c r="H1065" s="115"/>
    </row>
    <row r="1066" spans="3:8">
      <c r="C1066" s="115"/>
      <c r="D1066" s="115"/>
      <c r="E1066" s="115"/>
      <c r="F1066" s="115"/>
      <c r="G1066" s="115"/>
      <c r="H1066" s="115"/>
    </row>
    <row r="1067" spans="3:8">
      <c r="C1067" s="115"/>
      <c r="D1067" s="115"/>
      <c r="E1067" s="115"/>
      <c r="F1067" s="115"/>
      <c r="G1067" s="115"/>
      <c r="H1067" s="115"/>
    </row>
    <row r="1068" spans="3:8">
      <c r="C1068" s="115"/>
      <c r="D1068" s="115"/>
      <c r="E1068" s="115"/>
      <c r="F1068" s="115"/>
      <c r="G1068" s="115"/>
      <c r="H1068" s="115"/>
    </row>
    <row r="1069" spans="3:8">
      <c r="C1069" s="115"/>
      <c r="D1069" s="115"/>
      <c r="E1069" s="115"/>
      <c r="F1069" s="115"/>
      <c r="G1069" s="115"/>
      <c r="H1069" s="115"/>
    </row>
    <row r="1070" spans="3:8">
      <c r="C1070" s="115"/>
      <c r="D1070" s="115"/>
      <c r="E1070" s="115"/>
      <c r="F1070" s="115"/>
      <c r="G1070" s="115"/>
      <c r="H1070" s="115"/>
    </row>
    <row r="1071" spans="3:8">
      <c r="C1071" s="115"/>
      <c r="D1071" s="115"/>
      <c r="E1071" s="115"/>
      <c r="F1071" s="115"/>
      <c r="G1071" s="115"/>
      <c r="H1071" s="115"/>
    </row>
    <row r="1072" spans="3:8">
      <c r="C1072" s="115"/>
      <c r="D1072" s="115"/>
      <c r="E1072" s="115"/>
      <c r="F1072" s="115"/>
      <c r="G1072" s="115"/>
      <c r="H1072" s="115"/>
    </row>
    <row r="1073" spans="3:8">
      <c r="C1073" s="115"/>
      <c r="D1073" s="115"/>
      <c r="E1073" s="115"/>
      <c r="F1073" s="115"/>
      <c r="G1073" s="115"/>
      <c r="H1073" s="115"/>
    </row>
    <row r="1074" spans="3:8">
      <c r="C1074" s="115"/>
      <c r="D1074" s="115"/>
      <c r="E1074" s="115"/>
      <c r="F1074" s="115"/>
      <c r="G1074" s="115"/>
      <c r="H1074" s="115"/>
    </row>
    <row r="1075" spans="3:8">
      <c r="C1075" s="115"/>
      <c r="D1075" s="115"/>
      <c r="E1075" s="115"/>
      <c r="F1075" s="115"/>
      <c r="G1075" s="115"/>
      <c r="H1075" s="115"/>
    </row>
    <row r="1076" spans="3:8">
      <c r="C1076" s="115"/>
      <c r="D1076" s="115"/>
      <c r="E1076" s="115"/>
      <c r="F1076" s="115"/>
      <c r="G1076" s="115"/>
      <c r="H1076" s="115"/>
    </row>
    <row r="1077" spans="3:8">
      <c r="C1077" s="115"/>
      <c r="D1077" s="115"/>
      <c r="E1077" s="115"/>
      <c r="F1077" s="115"/>
      <c r="G1077" s="115"/>
      <c r="H1077" s="115"/>
    </row>
    <row r="1078" spans="3:8">
      <c r="C1078" s="115"/>
      <c r="D1078" s="115"/>
      <c r="E1078" s="115"/>
      <c r="F1078" s="115"/>
      <c r="G1078" s="115"/>
      <c r="H1078" s="115"/>
    </row>
    <row r="1079" spans="3:8">
      <c r="C1079" s="115"/>
      <c r="D1079" s="115"/>
      <c r="E1079" s="115"/>
      <c r="F1079" s="115"/>
      <c r="G1079" s="115"/>
      <c r="H1079" s="115"/>
    </row>
    <row r="1080" spans="3:8">
      <c r="C1080" s="115"/>
      <c r="D1080" s="115"/>
      <c r="E1080" s="115"/>
      <c r="F1080" s="115"/>
      <c r="G1080" s="115"/>
      <c r="H1080" s="115"/>
    </row>
    <row r="1081" spans="3:8">
      <c r="C1081" s="115"/>
      <c r="D1081" s="115"/>
      <c r="E1081" s="115"/>
      <c r="F1081" s="115"/>
      <c r="G1081" s="115"/>
      <c r="H1081" s="115"/>
    </row>
    <row r="1082" spans="3:8">
      <c r="C1082" s="115"/>
      <c r="D1082" s="115"/>
      <c r="E1082" s="115"/>
      <c r="F1082" s="115"/>
      <c r="G1082" s="115"/>
      <c r="H1082" s="115"/>
    </row>
    <row r="1083" spans="3:8">
      <c r="C1083" s="115"/>
      <c r="D1083" s="115"/>
      <c r="E1083" s="115"/>
      <c r="F1083" s="115"/>
      <c r="G1083" s="115"/>
      <c r="H1083" s="115"/>
    </row>
    <row r="1084" spans="3:8">
      <c r="C1084" s="115"/>
      <c r="D1084" s="115"/>
      <c r="E1084" s="115"/>
      <c r="F1084" s="115"/>
      <c r="G1084" s="115"/>
      <c r="H1084" s="115"/>
    </row>
    <row r="1085" spans="3:8">
      <c r="C1085" s="115"/>
      <c r="D1085" s="115"/>
      <c r="E1085" s="115"/>
      <c r="F1085" s="115"/>
      <c r="G1085" s="115"/>
      <c r="H1085" s="115"/>
    </row>
    <row r="1086" spans="3:8">
      <c r="C1086" s="115"/>
      <c r="D1086" s="115"/>
      <c r="E1086" s="115"/>
      <c r="F1086" s="115"/>
      <c r="G1086" s="115"/>
      <c r="H1086" s="115"/>
    </row>
    <row r="1087" spans="3:8">
      <c r="C1087" s="115"/>
      <c r="D1087" s="115"/>
      <c r="E1087" s="115"/>
      <c r="F1087" s="115"/>
      <c r="G1087" s="115"/>
      <c r="H1087" s="115"/>
    </row>
    <row r="1088" spans="3:8">
      <c r="C1088" s="115"/>
      <c r="D1088" s="115"/>
      <c r="E1088" s="115"/>
      <c r="F1088" s="115"/>
      <c r="G1088" s="115"/>
      <c r="H1088" s="115"/>
    </row>
    <row r="1089" spans="3:8">
      <c r="C1089" s="115"/>
      <c r="D1089" s="115"/>
      <c r="E1089" s="115"/>
      <c r="F1089" s="115"/>
      <c r="G1089" s="115"/>
      <c r="H1089" s="115"/>
    </row>
    <row r="1090" spans="3:8">
      <c r="C1090" s="115"/>
      <c r="D1090" s="115"/>
      <c r="E1090" s="115"/>
      <c r="F1090" s="115"/>
      <c r="G1090" s="115"/>
      <c r="H1090" s="115"/>
    </row>
    <row r="1091" spans="3:8">
      <c r="C1091" s="115"/>
      <c r="D1091" s="115"/>
      <c r="E1091" s="115"/>
      <c r="F1091" s="115"/>
      <c r="G1091" s="115"/>
      <c r="H1091" s="115"/>
    </row>
    <row r="1092" spans="3:8">
      <c r="C1092" s="115"/>
      <c r="D1092" s="115"/>
      <c r="E1092" s="115"/>
      <c r="F1092" s="115"/>
      <c r="G1092" s="115"/>
      <c r="H1092" s="115"/>
    </row>
    <row r="1093" spans="3:8">
      <c r="C1093" s="115"/>
      <c r="D1093" s="115"/>
      <c r="E1093" s="115"/>
      <c r="F1093" s="115"/>
      <c r="G1093" s="115"/>
      <c r="H1093" s="115"/>
    </row>
    <row r="1094" spans="3:8">
      <c r="C1094" s="115"/>
      <c r="D1094" s="115"/>
      <c r="E1094" s="115"/>
      <c r="F1094" s="115"/>
      <c r="G1094" s="115"/>
      <c r="H1094" s="115"/>
    </row>
    <row r="1095" spans="3:8">
      <c r="C1095" s="115"/>
      <c r="D1095" s="115"/>
      <c r="E1095" s="115"/>
      <c r="F1095" s="115"/>
      <c r="G1095" s="115"/>
      <c r="H1095" s="115"/>
    </row>
    <row r="1096" spans="3:8">
      <c r="C1096" s="115"/>
      <c r="D1096" s="115"/>
      <c r="E1096" s="115"/>
      <c r="F1096" s="115"/>
      <c r="G1096" s="115"/>
      <c r="H1096" s="115"/>
    </row>
    <row r="1097" spans="3:8">
      <c r="C1097" s="115"/>
      <c r="D1097" s="115"/>
      <c r="E1097" s="115"/>
      <c r="F1097" s="115"/>
      <c r="G1097" s="115"/>
      <c r="H1097" s="115"/>
    </row>
    <row r="1098" spans="3:8">
      <c r="C1098" s="115"/>
      <c r="D1098" s="115"/>
      <c r="E1098" s="115"/>
      <c r="F1098" s="115"/>
      <c r="G1098" s="115"/>
      <c r="H1098" s="115"/>
    </row>
    <row r="1099" spans="3:8">
      <c r="C1099" s="115"/>
      <c r="D1099" s="115"/>
      <c r="E1099" s="115"/>
      <c r="F1099" s="115"/>
      <c r="G1099" s="115"/>
      <c r="H1099" s="115"/>
    </row>
    <row r="1100" spans="3:8">
      <c r="C1100" s="115"/>
      <c r="D1100" s="115"/>
      <c r="E1100" s="115"/>
      <c r="F1100" s="115"/>
      <c r="G1100" s="115"/>
      <c r="H1100" s="115"/>
    </row>
    <row r="1101" spans="3:8">
      <c r="C1101" s="115"/>
      <c r="D1101" s="115"/>
      <c r="E1101" s="115"/>
      <c r="F1101" s="115"/>
      <c r="G1101" s="115"/>
      <c r="H1101" s="115"/>
    </row>
    <row r="1102" spans="3:8">
      <c r="C1102" s="115"/>
      <c r="D1102" s="115"/>
      <c r="E1102" s="115"/>
      <c r="F1102" s="115"/>
      <c r="G1102" s="115"/>
      <c r="H1102" s="115"/>
    </row>
    <row r="1103" spans="3:8">
      <c r="C1103" s="115"/>
      <c r="D1103" s="115"/>
      <c r="E1103" s="115"/>
      <c r="F1103" s="115"/>
      <c r="G1103" s="115"/>
      <c r="H1103" s="115"/>
    </row>
    <row r="1104" spans="3:8">
      <c r="C1104" s="115"/>
      <c r="D1104" s="115"/>
      <c r="E1104" s="115"/>
      <c r="F1104" s="115"/>
      <c r="G1104" s="115"/>
      <c r="H1104" s="115"/>
    </row>
    <row r="1105" spans="3:8">
      <c r="C1105" s="115"/>
      <c r="D1105" s="115"/>
      <c r="E1105" s="115"/>
      <c r="F1105" s="115"/>
      <c r="G1105" s="115"/>
      <c r="H1105" s="115"/>
    </row>
    <row r="1106" spans="3:8">
      <c r="C1106" s="115"/>
      <c r="D1106" s="115"/>
      <c r="E1106" s="115"/>
      <c r="F1106" s="115"/>
      <c r="G1106" s="115"/>
      <c r="H1106" s="115"/>
    </row>
    <row r="1107" spans="3:8">
      <c r="C1107" s="115"/>
      <c r="D1107" s="115"/>
      <c r="E1107" s="115"/>
      <c r="F1107" s="115"/>
      <c r="G1107" s="115"/>
      <c r="H1107" s="115"/>
    </row>
    <row r="1108" spans="3:8">
      <c r="C1108" s="115"/>
      <c r="D1108" s="115"/>
      <c r="E1108" s="115"/>
      <c r="F1108" s="115"/>
      <c r="G1108" s="115"/>
      <c r="H1108" s="115"/>
    </row>
    <row r="1109" spans="3:8">
      <c r="C1109" s="115"/>
      <c r="D1109" s="115"/>
      <c r="E1109" s="115"/>
      <c r="F1109" s="115"/>
      <c r="G1109" s="115"/>
      <c r="H1109" s="115"/>
    </row>
    <row r="1110" spans="3:8">
      <c r="C1110" s="115"/>
      <c r="D1110" s="115"/>
      <c r="E1110" s="115"/>
      <c r="F1110" s="115"/>
      <c r="G1110" s="115"/>
      <c r="H1110" s="115"/>
    </row>
    <row r="1111" spans="3:8">
      <c r="C1111" s="115"/>
      <c r="D1111" s="115"/>
      <c r="E1111" s="115"/>
      <c r="F1111" s="115"/>
      <c r="G1111" s="115"/>
      <c r="H1111" s="115"/>
    </row>
    <row r="1112" spans="3:8">
      <c r="C1112" s="115"/>
      <c r="D1112" s="115"/>
      <c r="E1112" s="115"/>
      <c r="F1112" s="115"/>
      <c r="G1112" s="115"/>
      <c r="H1112" s="115"/>
    </row>
    <row r="1113" spans="3:8">
      <c r="C1113" s="115"/>
      <c r="D1113" s="115"/>
      <c r="E1113" s="115"/>
      <c r="F1113" s="115"/>
      <c r="G1113" s="115"/>
      <c r="H1113" s="115"/>
    </row>
    <row r="1114" spans="3:8">
      <c r="C1114" s="115"/>
      <c r="D1114" s="115"/>
      <c r="E1114" s="115"/>
      <c r="F1114" s="115"/>
      <c r="G1114" s="115"/>
      <c r="H1114" s="115"/>
    </row>
    <row r="1115" spans="3:8">
      <c r="C1115" s="115"/>
      <c r="D1115" s="115"/>
      <c r="E1115" s="115"/>
      <c r="F1115" s="115"/>
      <c r="G1115" s="115"/>
      <c r="H1115" s="115"/>
    </row>
    <row r="1116" spans="3:8">
      <c r="C1116" s="115"/>
      <c r="D1116" s="115"/>
      <c r="E1116" s="115"/>
      <c r="F1116" s="115"/>
      <c r="G1116" s="115"/>
      <c r="H1116" s="115"/>
    </row>
    <row r="1117" spans="3:8">
      <c r="C1117" s="115"/>
      <c r="D1117" s="115"/>
      <c r="E1117" s="115"/>
      <c r="F1117" s="115"/>
      <c r="G1117" s="115"/>
      <c r="H1117" s="115"/>
    </row>
    <row r="1118" spans="3:8">
      <c r="C1118" s="115"/>
      <c r="D1118" s="115"/>
      <c r="E1118" s="115"/>
      <c r="F1118" s="115"/>
      <c r="G1118" s="115"/>
      <c r="H1118" s="115"/>
    </row>
    <row r="1119" spans="3:8">
      <c r="C1119" s="115"/>
      <c r="D1119" s="115"/>
      <c r="E1119" s="115"/>
      <c r="F1119" s="115"/>
      <c r="G1119" s="115"/>
      <c r="H1119" s="115"/>
    </row>
    <row r="1120" spans="3:8">
      <c r="C1120" s="115"/>
      <c r="D1120" s="115"/>
      <c r="E1120" s="115"/>
      <c r="F1120" s="115"/>
      <c r="G1120" s="115"/>
      <c r="H1120" s="115"/>
    </row>
    <row r="1121" spans="3:8">
      <c r="C1121" s="115"/>
      <c r="D1121" s="115"/>
      <c r="E1121" s="115"/>
      <c r="F1121" s="115"/>
      <c r="G1121" s="115"/>
      <c r="H1121" s="115"/>
    </row>
    <row r="1122" spans="3:8">
      <c r="C1122" s="115"/>
      <c r="D1122" s="115"/>
      <c r="E1122" s="115"/>
      <c r="F1122" s="115"/>
      <c r="G1122" s="115"/>
      <c r="H1122" s="115"/>
    </row>
    <row r="1123" spans="3:8">
      <c r="C1123" s="115"/>
      <c r="D1123" s="115"/>
      <c r="E1123" s="115"/>
      <c r="F1123" s="115"/>
      <c r="G1123" s="115"/>
      <c r="H1123" s="115"/>
    </row>
    <row r="1124" spans="3:8">
      <c r="C1124" s="115"/>
      <c r="D1124" s="115"/>
      <c r="E1124" s="115"/>
      <c r="F1124" s="115"/>
      <c r="G1124" s="115"/>
      <c r="H1124" s="115"/>
    </row>
    <row r="1125" spans="3:8">
      <c r="C1125" s="115"/>
      <c r="D1125" s="115"/>
      <c r="E1125" s="115"/>
      <c r="F1125" s="115"/>
      <c r="G1125" s="115"/>
      <c r="H1125" s="115"/>
    </row>
    <row r="1126" spans="3:8">
      <c r="C1126" s="115"/>
      <c r="D1126" s="115"/>
      <c r="E1126" s="115"/>
      <c r="F1126" s="115"/>
      <c r="G1126" s="115"/>
      <c r="H1126" s="115"/>
    </row>
    <row r="1127" spans="3:8">
      <c r="C1127" s="115"/>
      <c r="D1127" s="115"/>
      <c r="E1127" s="115"/>
      <c r="F1127" s="115"/>
      <c r="G1127" s="115"/>
      <c r="H1127" s="115"/>
    </row>
    <row r="1128" spans="3:8">
      <c r="C1128" s="115"/>
      <c r="D1128" s="115"/>
      <c r="E1128" s="115"/>
      <c r="F1128" s="115"/>
      <c r="G1128" s="115"/>
      <c r="H1128" s="115"/>
    </row>
    <row r="1129" spans="3:8">
      <c r="C1129" s="115"/>
      <c r="D1129" s="115"/>
      <c r="E1129" s="115"/>
      <c r="F1129" s="115"/>
      <c r="G1129" s="115"/>
      <c r="H1129" s="115"/>
    </row>
    <row r="1130" spans="3:8">
      <c r="C1130" s="115"/>
      <c r="D1130" s="115"/>
      <c r="E1130" s="115"/>
      <c r="F1130" s="115"/>
      <c r="G1130" s="115"/>
      <c r="H1130" s="115"/>
    </row>
    <row r="1131" spans="3:8">
      <c r="C1131" s="115"/>
      <c r="D1131" s="115"/>
      <c r="E1131" s="115"/>
      <c r="F1131" s="115"/>
      <c r="G1131" s="115"/>
      <c r="H1131" s="115"/>
    </row>
    <row r="1132" spans="3:8">
      <c r="C1132" s="115"/>
      <c r="D1132" s="115"/>
      <c r="E1132" s="115"/>
      <c r="F1132" s="115"/>
      <c r="G1132" s="115"/>
      <c r="H1132" s="115"/>
    </row>
    <row r="1133" spans="3:8">
      <c r="C1133" s="115"/>
      <c r="D1133" s="115"/>
      <c r="E1133" s="115"/>
      <c r="F1133" s="115"/>
      <c r="G1133" s="115"/>
      <c r="H1133" s="115"/>
    </row>
    <row r="1134" spans="3:8">
      <c r="C1134" s="115"/>
      <c r="D1134" s="115"/>
      <c r="E1134" s="115"/>
      <c r="F1134" s="115"/>
      <c r="G1134" s="115"/>
      <c r="H1134" s="115"/>
    </row>
    <row r="1135" spans="3:8">
      <c r="C1135" s="115"/>
      <c r="D1135" s="115"/>
      <c r="E1135" s="115"/>
      <c r="F1135" s="115"/>
      <c r="G1135" s="115"/>
      <c r="H1135" s="115"/>
    </row>
    <row r="1136" spans="3:8">
      <c r="C1136" s="115"/>
      <c r="D1136" s="115"/>
      <c r="E1136" s="115"/>
      <c r="F1136" s="115"/>
      <c r="G1136" s="115"/>
      <c r="H1136" s="115"/>
    </row>
    <row r="1137" spans="3:8">
      <c r="C1137" s="115"/>
      <c r="D1137" s="115"/>
      <c r="E1137" s="115"/>
      <c r="F1137" s="115"/>
      <c r="G1137" s="115"/>
      <c r="H1137" s="115"/>
    </row>
    <row r="1138" spans="3:8">
      <c r="C1138" s="115"/>
      <c r="D1138" s="115"/>
      <c r="E1138" s="115"/>
      <c r="F1138" s="115"/>
      <c r="G1138" s="115"/>
      <c r="H1138" s="115"/>
    </row>
    <row r="1139" spans="3:8">
      <c r="C1139" s="115"/>
      <c r="D1139" s="115"/>
      <c r="E1139" s="115"/>
      <c r="F1139" s="115"/>
      <c r="G1139" s="115"/>
      <c r="H1139" s="115"/>
    </row>
    <row r="1140" spans="3:8">
      <c r="C1140" s="115"/>
      <c r="D1140" s="115"/>
      <c r="E1140" s="115"/>
      <c r="F1140" s="115"/>
      <c r="G1140" s="115"/>
      <c r="H1140" s="115"/>
    </row>
    <row r="1141" spans="3:8">
      <c r="C1141" s="115"/>
      <c r="D1141" s="115"/>
      <c r="E1141" s="115"/>
      <c r="F1141" s="115"/>
      <c r="G1141" s="115"/>
      <c r="H1141" s="115"/>
    </row>
    <row r="1142" spans="3:8">
      <c r="C1142" s="115"/>
      <c r="D1142" s="115"/>
      <c r="E1142" s="115"/>
      <c r="F1142" s="115"/>
      <c r="G1142" s="115"/>
      <c r="H1142" s="115"/>
    </row>
    <row r="1143" spans="3:8">
      <c r="C1143" s="115"/>
      <c r="D1143" s="115"/>
      <c r="E1143" s="115"/>
      <c r="F1143" s="115"/>
      <c r="G1143" s="115"/>
      <c r="H1143" s="115"/>
    </row>
    <row r="1144" spans="3:8">
      <c r="C1144" s="115"/>
      <c r="D1144" s="115"/>
      <c r="E1144" s="115"/>
      <c r="F1144" s="115"/>
      <c r="G1144" s="115"/>
      <c r="H1144" s="115"/>
    </row>
    <row r="1145" spans="3:8">
      <c r="C1145" s="115"/>
      <c r="D1145" s="115"/>
      <c r="E1145" s="115"/>
      <c r="F1145" s="115"/>
      <c r="G1145" s="115"/>
      <c r="H1145" s="115"/>
    </row>
    <row r="1146" spans="3:8">
      <c r="C1146" s="115"/>
      <c r="D1146" s="115"/>
      <c r="E1146" s="115"/>
      <c r="F1146" s="115"/>
      <c r="G1146" s="115"/>
      <c r="H1146" s="115"/>
    </row>
    <row r="1147" spans="3:8">
      <c r="C1147" s="115"/>
      <c r="D1147" s="115"/>
      <c r="E1147" s="115"/>
      <c r="F1147" s="115"/>
      <c r="G1147" s="115"/>
      <c r="H1147" s="115"/>
    </row>
    <row r="1148" spans="3:8">
      <c r="C1148" s="115"/>
      <c r="D1148" s="115"/>
      <c r="E1148" s="115"/>
      <c r="F1148" s="115"/>
      <c r="G1148" s="115"/>
      <c r="H1148" s="115"/>
    </row>
    <row r="1149" spans="3:8">
      <c r="C1149" s="115"/>
      <c r="D1149" s="115"/>
      <c r="E1149" s="115"/>
      <c r="F1149" s="115"/>
      <c r="G1149" s="115"/>
      <c r="H1149" s="115"/>
    </row>
    <row r="1150" spans="3:8">
      <c r="C1150" s="115"/>
      <c r="D1150" s="115"/>
      <c r="E1150" s="115"/>
      <c r="F1150" s="115"/>
      <c r="G1150" s="115"/>
      <c r="H1150" s="115"/>
    </row>
    <row r="1151" spans="3:8">
      <c r="C1151" s="115"/>
      <c r="D1151" s="115"/>
      <c r="E1151" s="115"/>
      <c r="F1151" s="115"/>
      <c r="G1151" s="115"/>
      <c r="H1151" s="115"/>
    </row>
    <row r="1152" spans="3:8">
      <c r="C1152" s="115"/>
      <c r="D1152" s="115"/>
      <c r="E1152" s="115"/>
      <c r="F1152" s="115"/>
      <c r="G1152" s="115"/>
      <c r="H1152" s="115"/>
    </row>
    <row r="1153" spans="3:8">
      <c r="C1153" s="115"/>
      <c r="D1153" s="115"/>
      <c r="E1153" s="115"/>
      <c r="F1153" s="115"/>
      <c r="G1153" s="115"/>
      <c r="H1153" s="115"/>
    </row>
    <row r="1154" spans="3:8">
      <c r="C1154" s="115"/>
      <c r="D1154" s="115"/>
      <c r="E1154" s="115"/>
      <c r="F1154" s="115"/>
      <c r="G1154" s="115"/>
      <c r="H1154" s="115"/>
    </row>
    <row r="1155" spans="3:8">
      <c r="C1155" s="115"/>
      <c r="D1155" s="115"/>
      <c r="E1155" s="115"/>
      <c r="F1155" s="115"/>
      <c r="G1155" s="115"/>
      <c r="H1155" s="115"/>
    </row>
    <row r="1156" spans="3:8">
      <c r="C1156" s="115"/>
      <c r="D1156" s="115"/>
      <c r="E1156" s="115"/>
      <c r="F1156" s="115"/>
      <c r="G1156" s="115"/>
      <c r="H1156" s="115"/>
    </row>
    <row r="1157" spans="3:8">
      <c r="C1157" s="115"/>
      <c r="D1157" s="115"/>
      <c r="E1157" s="115"/>
      <c r="F1157" s="115"/>
      <c r="G1157" s="115"/>
      <c r="H1157" s="115"/>
    </row>
    <row r="1158" spans="3:8">
      <c r="C1158" s="115"/>
      <c r="D1158" s="115"/>
      <c r="E1158" s="115"/>
      <c r="F1158" s="115"/>
      <c r="G1158" s="115"/>
      <c r="H1158" s="115"/>
    </row>
    <row r="1159" spans="3:8">
      <c r="C1159" s="115"/>
      <c r="D1159" s="115"/>
      <c r="E1159" s="115"/>
      <c r="F1159" s="115"/>
      <c r="G1159" s="115"/>
      <c r="H1159" s="115"/>
    </row>
    <row r="1160" spans="3:8">
      <c r="C1160" s="115"/>
      <c r="D1160" s="115"/>
      <c r="E1160" s="115"/>
      <c r="F1160" s="115"/>
      <c r="G1160" s="115"/>
      <c r="H1160" s="115"/>
    </row>
    <row r="1161" spans="3:8">
      <c r="C1161" s="115"/>
      <c r="D1161" s="115"/>
      <c r="E1161" s="115"/>
      <c r="F1161" s="115"/>
      <c r="G1161" s="115"/>
      <c r="H1161" s="115"/>
    </row>
    <row r="1162" spans="3:8">
      <c r="C1162" s="115"/>
      <c r="D1162" s="115"/>
      <c r="E1162" s="115"/>
      <c r="F1162" s="115"/>
      <c r="G1162" s="115"/>
      <c r="H1162" s="115"/>
    </row>
    <row r="1163" spans="3:8">
      <c r="C1163" s="115"/>
      <c r="D1163" s="115"/>
      <c r="E1163" s="115"/>
      <c r="F1163" s="115"/>
      <c r="G1163" s="115"/>
      <c r="H1163" s="115"/>
    </row>
    <row r="1164" spans="3:8">
      <c r="C1164" s="115"/>
      <c r="D1164" s="115"/>
      <c r="E1164" s="115"/>
      <c r="F1164" s="115"/>
      <c r="G1164" s="115"/>
      <c r="H1164" s="115"/>
    </row>
    <row r="1165" spans="3:8">
      <c r="C1165" s="115"/>
      <c r="D1165" s="115"/>
      <c r="E1165" s="115"/>
      <c r="F1165" s="115"/>
      <c r="G1165" s="115"/>
      <c r="H1165" s="115"/>
    </row>
    <row r="1166" spans="3:8">
      <c r="C1166" s="115"/>
      <c r="D1166" s="115"/>
      <c r="E1166" s="115"/>
      <c r="F1166" s="115"/>
      <c r="G1166" s="115"/>
      <c r="H1166" s="115"/>
    </row>
    <row r="1167" spans="3:8">
      <c r="C1167" s="115"/>
      <c r="D1167" s="115"/>
      <c r="E1167" s="115"/>
      <c r="F1167" s="115"/>
      <c r="G1167" s="115"/>
      <c r="H1167" s="115"/>
    </row>
    <row r="1168" spans="3:8">
      <c r="C1168" s="115"/>
      <c r="D1168" s="115"/>
      <c r="E1168" s="115"/>
      <c r="F1168" s="115"/>
      <c r="G1168" s="115"/>
      <c r="H1168" s="115"/>
    </row>
    <row r="1169" spans="3:8">
      <c r="C1169" s="115"/>
      <c r="D1169" s="115"/>
      <c r="E1169" s="115"/>
      <c r="F1169" s="115"/>
      <c r="G1169" s="115"/>
      <c r="H1169" s="115"/>
    </row>
    <row r="1170" spans="3:8">
      <c r="C1170" s="115"/>
      <c r="D1170" s="115"/>
      <c r="E1170" s="115"/>
      <c r="F1170" s="115"/>
      <c r="G1170" s="115"/>
      <c r="H1170" s="115"/>
    </row>
    <row r="1171" spans="3:8">
      <c r="C1171" s="115"/>
      <c r="D1171" s="115"/>
      <c r="E1171" s="115"/>
      <c r="F1171" s="115"/>
      <c r="G1171" s="115"/>
      <c r="H1171" s="115"/>
    </row>
    <row r="1172" spans="3:8">
      <c r="C1172" s="115"/>
      <c r="D1172" s="115"/>
      <c r="E1172" s="115"/>
      <c r="F1172" s="115"/>
      <c r="G1172" s="115"/>
      <c r="H1172" s="115"/>
    </row>
    <row r="1173" spans="3:8">
      <c r="C1173" s="115"/>
      <c r="D1173" s="115"/>
      <c r="E1173" s="115"/>
      <c r="F1173" s="115"/>
      <c r="G1173" s="115"/>
      <c r="H1173" s="115"/>
    </row>
    <row r="1174" spans="3:8">
      <c r="C1174" s="115"/>
      <c r="D1174" s="115"/>
      <c r="E1174" s="115"/>
      <c r="F1174" s="115"/>
      <c r="G1174" s="115"/>
      <c r="H1174" s="115"/>
    </row>
    <row r="1175" spans="3:8">
      <c r="C1175" s="115"/>
      <c r="D1175" s="115"/>
      <c r="E1175" s="115"/>
      <c r="F1175" s="115"/>
      <c r="G1175" s="115"/>
      <c r="H1175" s="115"/>
    </row>
    <row r="1176" spans="3:8">
      <c r="C1176" s="115"/>
      <c r="D1176" s="115"/>
      <c r="E1176" s="115"/>
      <c r="F1176" s="115"/>
      <c r="G1176" s="115"/>
      <c r="H1176" s="115"/>
    </row>
    <row r="1177" spans="3:8">
      <c r="C1177" s="115"/>
      <c r="D1177" s="115"/>
      <c r="E1177" s="115"/>
      <c r="F1177" s="115"/>
      <c r="G1177" s="115"/>
      <c r="H1177" s="115"/>
    </row>
    <row r="1178" spans="3:8">
      <c r="C1178" s="115"/>
      <c r="D1178" s="115"/>
      <c r="E1178" s="115"/>
      <c r="F1178" s="115"/>
      <c r="G1178" s="115"/>
      <c r="H1178" s="115"/>
    </row>
    <row r="1179" spans="3:8">
      <c r="C1179" s="115"/>
      <c r="D1179" s="115"/>
      <c r="E1179" s="115"/>
      <c r="F1179" s="115"/>
      <c r="G1179" s="115"/>
      <c r="H1179" s="115"/>
    </row>
    <row r="1180" spans="3:8">
      <c r="C1180" s="115"/>
      <c r="D1180" s="115"/>
      <c r="E1180" s="115"/>
      <c r="F1180" s="115"/>
      <c r="G1180" s="115"/>
      <c r="H1180" s="115"/>
    </row>
    <row r="1181" spans="3:8">
      <c r="C1181" s="115"/>
      <c r="D1181" s="115"/>
      <c r="E1181" s="115"/>
      <c r="F1181" s="115"/>
      <c r="G1181" s="115"/>
      <c r="H1181" s="115"/>
    </row>
    <row r="1182" spans="3:8">
      <c r="C1182" s="115"/>
      <c r="D1182" s="115"/>
      <c r="E1182" s="115"/>
      <c r="F1182" s="115"/>
      <c r="G1182" s="115"/>
      <c r="H1182" s="115"/>
    </row>
    <row r="1183" spans="3:8">
      <c r="C1183" s="115"/>
      <c r="D1183" s="115"/>
      <c r="E1183" s="115"/>
      <c r="F1183" s="115"/>
      <c r="G1183" s="115"/>
      <c r="H1183" s="115"/>
    </row>
    <row r="1184" spans="3:8">
      <c r="C1184" s="115"/>
      <c r="D1184" s="115"/>
      <c r="E1184" s="115"/>
      <c r="F1184" s="115"/>
      <c r="G1184" s="115"/>
      <c r="H1184" s="115"/>
    </row>
    <row r="1185" spans="3:8">
      <c r="C1185" s="115"/>
      <c r="D1185" s="115"/>
      <c r="E1185" s="115"/>
      <c r="F1185" s="115"/>
      <c r="G1185" s="115"/>
      <c r="H1185" s="115"/>
    </row>
    <row r="1186" spans="3:8">
      <c r="C1186" s="115"/>
      <c r="D1186" s="115"/>
      <c r="E1186" s="115"/>
      <c r="F1186" s="115"/>
      <c r="G1186" s="115"/>
      <c r="H1186" s="115"/>
    </row>
    <row r="1187" spans="3:8">
      <c r="C1187" s="115"/>
      <c r="D1187" s="115"/>
      <c r="E1187" s="115"/>
      <c r="F1187" s="115"/>
      <c r="G1187" s="115"/>
      <c r="H1187" s="115"/>
    </row>
    <row r="1188" spans="3:8">
      <c r="C1188" s="115"/>
      <c r="D1188" s="115"/>
      <c r="E1188" s="115"/>
      <c r="F1188" s="115"/>
      <c r="G1188" s="115"/>
      <c r="H1188" s="115"/>
    </row>
    <row r="1189" spans="3:8">
      <c r="C1189" s="115"/>
      <c r="D1189" s="115"/>
      <c r="E1189" s="115"/>
      <c r="F1189" s="115"/>
      <c r="G1189" s="115"/>
      <c r="H1189" s="115"/>
    </row>
    <row r="1190" spans="3:8">
      <c r="C1190" s="115"/>
      <c r="D1190" s="115"/>
      <c r="E1190" s="115"/>
      <c r="F1190" s="115"/>
      <c r="G1190" s="115"/>
      <c r="H1190" s="115"/>
    </row>
    <row r="1191" spans="3:8">
      <c r="C1191" s="115"/>
      <c r="D1191" s="115"/>
      <c r="E1191" s="115"/>
      <c r="F1191" s="115"/>
      <c r="G1191" s="115"/>
      <c r="H1191" s="115"/>
    </row>
    <row r="1192" spans="3:8">
      <c r="C1192" s="115"/>
      <c r="D1192" s="115"/>
      <c r="E1192" s="115"/>
      <c r="F1192" s="115"/>
      <c r="G1192" s="115"/>
      <c r="H1192" s="115"/>
    </row>
    <row r="1193" spans="3:8">
      <c r="C1193" s="115"/>
      <c r="D1193" s="115"/>
      <c r="E1193" s="115"/>
      <c r="F1193" s="115"/>
      <c r="G1193" s="115"/>
      <c r="H1193" s="115"/>
    </row>
    <row r="1194" spans="3:8">
      <c r="C1194" s="115"/>
      <c r="D1194" s="115"/>
      <c r="E1194" s="115"/>
      <c r="F1194" s="115"/>
      <c r="G1194" s="115"/>
      <c r="H1194" s="115"/>
    </row>
    <row r="1195" spans="3:8">
      <c r="C1195" s="115"/>
      <c r="D1195" s="115"/>
      <c r="E1195" s="115"/>
      <c r="F1195" s="115"/>
      <c r="G1195" s="115"/>
      <c r="H1195" s="115"/>
    </row>
    <row r="1196" spans="3:8">
      <c r="C1196" s="115"/>
      <c r="D1196" s="115"/>
      <c r="E1196" s="115"/>
      <c r="F1196" s="115"/>
      <c r="G1196" s="115"/>
      <c r="H1196" s="115"/>
    </row>
    <row r="1197" spans="3:8">
      <c r="C1197" s="115"/>
      <c r="D1197" s="115"/>
      <c r="E1197" s="115"/>
      <c r="F1197" s="115"/>
      <c r="G1197" s="115"/>
      <c r="H1197" s="115"/>
    </row>
    <row r="1198" spans="3:8">
      <c r="C1198" s="115"/>
      <c r="D1198" s="115"/>
      <c r="E1198" s="115"/>
      <c r="F1198" s="115"/>
      <c r="G1198" s="115"/>
      <c r="H1198" s="115"/>
    </row>
    <row r="1199" spans="3:8">
      <c r="C1199" s="115"/>
      <c r="D1199" s="115"/>
      <c r="E1199" s="115"/>
      <c r="F1199" s="115"/>
      <c r="G1199" s="115"/>
      <c r="H1199" s="115"/>
    </row>
    <row r="1200" spans="3:8">
      <c r="C1200" s="115"/>
      <c r="D1200" s="115"/>
      <c r="E1200" s="115"/>
      <c r="F1200" s="115"/>
      <c r="G1200" s="115"/>
      <c r="H1200" s="115"/>
    </row>
    <row r="1201" spans="3:8">
      <c r="C1201" s="115"/>
      <c r="D1201" s="115"/>
      <c r="E1201" s="115"/>
      <c r="F1201" s="115"/>
      <c r="G1201" s="115"/>
      <c r="H1201" s="115"/>
    </row>
    <row r="1202" spans="3:8">
      <c r="C1202" s="115"/>
      <c r="D1202" s="115"/>
      <c r="E1202" s="115"/>
      <c r="F1202" s="115"/>
      <c r="G1202" s="115"/>
      <c r="H1202" s="115"/>
    </row>
    <row r="1203" spans="3:8">
      <c r="C1203" s="115"/>
      <c r="D1203" s="115"/>
      <c r="E1203" s="115"/>
      <c r="F1203" s="115"/>
      <c r="G1203" s="115"/>
      <c r="H1203" s="115"/>
    </row>
    <row r="1204" spans="3:8">
      <c r="C1204" s="115"/>
      <c r="D1204" s="115"/>
      <c r="E1204" s="115"/>
      <c r="F1204" s="115"/>
      <c r="G1204" s="115"/>
      <c r="H1204" s="115"/>
    </row>
    <row r="1205" spans="3:8">
      <c r="C1205" s="115"/>
      <c r="D1205" s="115"/>
      <c r="E1205" s="115"/>
      <c r="F1205" s="115"/>
      <c r="G1205" s="115"/>
      <c r="H1205" s="115"/>
    </row>
    <row r="1206" spans="3:8">
      <c r="C1206" s="115"/>
      <c r="D1206" s="115"/>
      <c r="E1206" s="115"/>
      <c r="F1206" s="115"/>
      <c r="G1206" s="115"/>
      <c r="H1206" s="115"/>
    </row>
    <row r="1207" spans="3:8">
      <c r="C1207" s="115"/>
      <c r="D1207" s="115"/>
      <c r="E1207" s="115"/>
      <c r="F1207" s="115"/>
      <c r="G1207" s="115"/>
      <c r="H1207" s="115"/>
    </row>
    <row r="1208" spans="3:8">
      <c r="C1208" s="115"/>
      <c r="D1208" s="115"/>
      <c r="E1208" s="115"/>
      <c r="F1208" s="115"/>
      <c r="G1208" s="115"/>
      <c r="H1208" s="115"/>
    </row>
    <row r="1209" spans="3:8">
      <c r="C1209" s="115"/>
      <c r="D1209" s="115"/>
      <c r="E1209" s="115"/>
      <c r="F1209" s="115"/>
      <c r="G1209" s="115"/>
      <c r="H1209" s="115"/>
    </row>
    <row r="1210" spans="3:8">
      <c r="C1210" s="115"/>
      <c r="D1210" s="115"/>
      <c r="E1210" s="115"/>
      <c r="F1210" s="115"/>
      <c r="G1210" s="115"/>
      <c r="H1210" s="115"/>
    </row>
    <row r="1211" spans="3:8">
      <c r="C1211" s="115"/>
      <c r="D1211" s="115"/>
      <c r="E1211" s="115"/>
      <c r="F1211" s="115"/>
      <c r="G1211" s="115"/>
      <c r="H1211" s="115"/>
    </row>
    <row r="1212" spans="3:8">
      <c r="C1212" s="115"/>
      <c r="D1212" s="115"/>
      <c r="E1212" s="115"/>
      <c r="F1212" s="115"/>
      <c r="G1212" s="115"/>
      <c r="H1212" s="115"/>
    </row>
    <row r="1213" spans="3:8">
      <c r="C1213" s="115"/>
      <c r="D1213" s="115"/>
      <c r="E1213" s="115"/>
      <c r="F1213" s="115"/>
      <c r="G1213" s="115"/>
      <c r="H1213" s="115"/>
    </row>
    <row r="1214" spans="3:8">
      <c r="C1214" s="115"/>
      <c r="D1214" s="115"/>
      <c r="E1214" s="115"/>
      <c r="F1214" s="115"/>
      <c r="G1214" s="115"/>
      <c r="H1214" s="115"/>
    </row>
    <row r="1215" spans="3:8">
      <c r="C1215" s="115"/>
      <c r="D1215" s="115"/>
      <c r="E1215" s="115"/>
      <c r="F1215" s="115"/>
      <c r="G1215" s="115"/>
      <c r="H1215" s="115"/>
    </row>
    <row r="1216" spans="3:8">
      <c r="C1216" s="115"/>
      <c r="D1216" s="115"/>
      <c r="E1216" s="115"/>
      <c r="F1216" s="115"/>
      <c r="G1216" s="115"/>
      <c r="H1216" s="115"/>
    </row>
    <row r="1217" spans="3:8">
      <c r="C1217" s="115"/>
      <c r="D1217" s="115"/>
      <c r="E1217" s="115"/>
      <c r="F1217" s="115"/>
      <c r="G1217" s="115"/>
      <c r="H1217" s="115"/>
    </row>
    <row r="1218" spans="3:8">
      <c r="C1218" s="115"/>
      <c r="D1218" s="115"/>
      <c r="E1218" s="115"/>
      <c r="F1218" s="115"/>
      <c r="G1218" s="115"/>
      <c r="H1218" s="115"/>
    </row>
    <row r="1219" spans="3:8">
      <c r="C1219" s="115"/>
      <c r="D1219" s="115"/>
      <c r="E1219" s="115"/>
      <c r="F1219" s="115"/>
      <c r="G1219" s="115"/>
      <c r="H1219" s="115"/>
    </row>
    <row r="1220" spans="3:8">
      <c r="C1220" s="115"/>
      <c r="D1220" s="115"/>
      <c r="E1220" s="115"/>
      <c r="F1220" s="115"/>
      <c r="G1220" s="115"/>
      <c r="H1220" s="115"/>
    </row>
    <row r="1221" spans="3:8">
      <c r="C1221" s="115"/>
      <c r="D1221" s="115"/>
      <c r="E1221" s="115"/>
      <c r="F1221" s="115"/>
      <c r="G1221" s="115"/>
      <c r="H1221" s="115"/>
    </row>
    <row r="1222" spans="3:8">
      <c r="C1222" s="115"/>
      <c r="D1222" s="115"/>
      <c r="E1222" s="115"/>
      <c r="F1222" s="115"/>
      <c r="G1222" s="115"/>
      <c r="H1222" s="115"/>
    </row>
    <row r="1223" spans="3:8">
      <c r="C1223" s="115"/>
      <c r="D1223" s="115"/>
      <c r="E1223" s="115"/>
      <c r="F1223" s="115"/>
      <c r="G1223" s="115"/>
      <c r="H1223" s="115"/>
    </row>
    <row r="1224" spans="3:8">
      <c r="C1224" s="115"/>
      <c r="D1224" s="115"/>
      <c r="E1224" s="115"/>
      <c r="F1224" s="115"/>
      <c r="G1224" s="115"/>
      <c r="H1224" s="115"/>
    </row>
    <row r="1225" spans="3:8">
      <c r="C1225" s="115"/>
      <c r="D1225" s="115"/>
      <c r="E1225" s="115"/>
      <c r="F1225" s="115"/>
      <c r="G1225" s="115"/>
      <c r="H1225" s="115"/>
    </row>
    <row r="1226" spans="3:8">
      <c r="C1226" s="115"/>
      <c r="D1226" s="115"/>
      <c r="E1226" s="115"/>
      <c r="F1226" s="115"/>
      <c r="G1226" s="115"/>
      <c r="H1226" s="115"/>
    </row>
    <row r="1227" spans="3:8">
      <c r="C1227" s="115"/>
      <c r="D1227" s="115"/>
      <c r="E1227" s="115"/>
      <c r="F1227" s="115"/>
      <c r="G1227" s="115"/>
      <c r="H1227" s="115"/>
    </row>
    <row r="1228" spans="3:8">
      <c r="C1228" s="115"/>
      <c r="D1228" s="115"/>
      <c r="E1228" s="115"/>
      <c r="F1228" s="115"/>
      <c r="G1228" s="115"/>
      <c r="H1228" s="115"/>
    </row>
    <row r="1229" spans="3:8">
      <c r="C1229" s="115"/>
      <c r="D1229" s="115"/>
      <c r="E1229" s="115"/>
      <c r="F1229" s="115"/>
      <c r="G1229" s="115"/>
      <c r="H1229" s="115"/>
    </row>
    <row r="1230" spans="3:8">
      <c r="C1230" s="115"/>
      <c r="D1230" s="115"/>
      <c r="E1230" s="115"/>
      <c r="F1230" s="115"/>
      <c r="G1230" s="115"/>
      <c r="H1230" s="115"/>
    </row>
    <row r="1231" spans="3:8">
      <c r="C1231" s="115"/>
      <c r="D1231" s="115"/>
      <c r="E1231" s="115"/>
      <c r="F1231" s="115"/>
      <c r="G1231" s="115"/>
      <c r="H1231" s="115"/>
    </row>
    <row r="1232" spans="3:8">
      <c r="C1232" s="115"/>
      <c r="D1232" s="115"/>
      <c r="E1232" s="115"/>
      <c r="F1232" s="115"/>
      <c r="G1232" s="115"/>
      <c r="H1232" s="115"/>
    </row>
    <row r="1233" spans="3:8">
      <c r="C1233" s="115"/>
      <c r="D1233" s="115"/>
      <c r="E1233" s="115"/>
      <c r="F1233" s="115"/>
      <c r="G1233" s="115"/>
      <c r="H1233" s="115"/>
    </row>
    <row r="1234" spans="3:8">
      <c r="C1234" s="115"/>
      <c r="D1234" s="115"/>
      <c r="E1234" s="115"/>
      <c r="F1234" s="115"/>
      <c r="G1234" s="115"/>
      <c r="H1234" s="115"/>
    </row>
    <row r="1235" spans="3:8">
      <c r="C1235" s="115"/>
      <c r="D1235" s="115"/>
      <c r="E1235" s="115"/>
      <c r="F1235" s="115"/>
      <c r="G1235" s="115"/>
      <c r="H1235" s="115"/>
    </row>
    <row r="1236" spans="3:8">
      <c r="C1236" s="115"/>
      <c r="D1236" s="115"/>
      <c r="E1236" s="115"/>
      <c r="F1236" s="115"/>
      <c r="G1236" s="115"/>
      <c r="H1236" s="115"/>
    </row>
    <row r="1237" spans="3:8">
      <c r="C1237" s="115"/>
      <c r="D1237" s="115"/>
      <c r="E1237" s="115"/>
      <c r="F1237" s="115"/>
      <c r="G1237" s="115"/>
      <c r="H1237" s="115"/>
    </row>
    <row r="1238" spans="3:8">
      <c r="C1238" s="115"/>
      <c r="D1238" s="115"/>
      <c r="E1238" s="115"/>
      <c r="F1238" s="115"/>
      <c r="G1238" s="115"/>
      <c r="H1238" s="115"/>
    </row>
    <row r="1239" spans="3:8">
      <c r="C1239" s="115"/>
      <c r="D1239" s="115"/>
      <c r="E1239" s="115"/>
      <c r="F1239" s="115"/>
      <c r="G1239" s="115"/>
      <c r="H1239" s="115"/>
    </row>
    <row r="1240" spans="3:8">
      <c r="C1240" s="115"/>
      <c r="D1240" s="115"/>
      <c r="E1240" s="115"/>
      <c r="F1240" s="115"/>
      <c r="G1240" s="115"/>
      <c r="H1240" s="115"/>
    </row>
    <row r="1241" spans="3:8">
      <c r="C1241" s="115"/>
      <c r="D1241" s="115"/>
      <c r="E1241" s="115"/>
      <c r="F1241" s="115"/>
      <c r="G1241" s="115"/>
      <c r="H1241" s="115"/>
    </row>
    <row r="1242" spans="3:8">
      <c r="C1242" s="115"/>
      <c r="D1242" s="115"/>
      <c r="E1242" s="115"/>
      <c r="F1242" s="115"/>
      <c r="G1242" s="115"/>
      <c r="H1242" s="115"/>
    </row>
    <row r="1243" spans="3:8">
      <c r="C1243" s="115"/>
      <c r="D1243" s="115"/>
      <c r="E1243" s="115"/>
      <c r="F1243" s="115"/>
      <c r="G1243" s="115"/>
      <c r="H1243" s="115"/>
    </row>
    <row r="1244" spans="3:8">
      <c r="C1244" s="115"/>
      <c r="D1244" s="115"/>
      <c r="E1244" s="115"/>
      <c r="F1244" s="115"/>
      <c r="G1244" s="115"/>
      <c r="H1244" s="115"/>
    </row>
    <row r="1245" spans="3:8">
      <c r="C1245" s="115"/>
      <c r="D1245" s="115"/>
      <c r="E1245" s="115"/>
      <c r="F1245" s="115"/>
      <c r="G1245" s="115"/>
      <c r="H1245" s="115"/>
    </row>
    <row r="1246" spans="3:8">
      <c r="C1246" s="115"/>
      <c r="D1246" s="115"/>
      <c r="E1246" s="115"/>
      <c r="F1246" s="115"/>
      <c r="G1246" s="115"/>
      <c r="H1246" s="115"/>
    </row>
    <row r="1247" spans="3:8">
      <c r="C1247" s="115"/>
      <c r="D1247" s="115"/>
      <c r="E1247" s="115"/>
      <c r="F1247" s="115"/>
      <c r="G1247" s="115"/>
      <c r="H1247" s="115"/>
    </row>
    <row r="1248" spans="3:8">
      <c r="C1248" s="115"/>
      <c r="D1248" s="115"/>
      <c r="E1248" s="115"/>
      <c r="F1248" s="115"/>
      <c r="G1248" s="115"/>
      <c r="H1248" s="115"/>
    </row>
    <row r="1249" spans="3:8">
      <c r="C1249" s="115"/>
      <c r="D1249" s="115"/>
      <c r="E1249" s="115"/>
      <c r="F1249" s="115"/>
      <c r="G1249" s="115"/>
      <c r="H1249" s="115"/>
    </row>
    <row r="1250" spans="3:8">
      <c r="C1250" s="115"/>
      <c r="D1250" s="115"/>
      <c r="E1250" s="115"/>
      <c r="F1250" s="115"/>
      <c r="G1250" s="115"/>
      <c r="H1250" s="115"/>
    </row>
    <row r="1251" spans="3:8">
      <c r="C1251" s="115"/>
      <c r="D1251" s="115"/>
      <c r="E1251" s="115"/>
      <c r="F1251" s="115"/>
      <c r="G1251" s="115"/>
      <c r="H1251" s="115"/>
    </row>
    <row r="1252" spans="3:8">
      <c r="C1252" s="115"/>
      <c r="D1252" s="115"/>
      <c r="E1252" s="115"/>
      <c r="F1252" s="115"/>
      <c r="G1252" s="115"/>
      <c r="H1252" s="115"/>
    </row>
    <row r="1253" spans="3:8">
      <c r="C1253" s="115"/>
      <c r="D1253" s="115"/>
      <c r="E1253" s="115"/>
      <c r="F1253" s="115"/>
      <c r="G1253" s="115"/>
      <c r="H1253" s="115"/>
    </row>
    <row r="1254" spans="3:8">
      <c r="C1254" s="115"/>
      <c r="D1254" s="115"/>
      <c r="E1254" s="115"/>
      <c r="F1254" s="115"/>
      <c r="G1254" s="115"/>
      <c r="H1254" s="115"/>
    </row>
    <row r="1255" spans="3:8">
      <c r="C1255" s="115"/>
      <c r="D1255" s="115"/>
      <c r="E1255" s="115"/>
      <c r="F1255" s="115"/>
      <c r="G1255" s="115"/>
      <c r="H1255" s="115"/>
    </row>
    <row r="1256" spans="3:8">
      <c r="C1256" s="115"/>
      <c r="D1256" s="115"/>
      <c r="E1256" s="115"/>
      <c r="F1256" s="115"/>
      <c r="G1256" s="115"/>
      <c r="H1256" s="115"/>
    </row>
    <row r="1257" spans="3:8">
      <c r="C1257" s="115"/>
      <c r="D1257" s="115"/>
      <c r="E1257" s="115"/>
      <c r="F1257" s="115"/>
      <c r="G1257" s="115"/>
      <c r="H1257" s="115"/>
    </row>
    <row r="1258" spans="3:8">
      <c r="C1258" s="115"/>
      <c r="D1258" s="115"/>
      <c r="E1258" s="115"/>
      <c r="F1258" s="115"/>
      <c r="G1258" s="115"/>
      <c r="H1258" s="115"/>
    </row>
    <row r="1259" spans="3:8">
      <c r="C1259" s="115"/>
      <c r="D1259" s="115"/>
      <c r="E1259" s="115"/>
      <c r="F1259" s="115"/>
      <c r="G1259" s="115"/>
      <c r="H1259" s="115"/>
    </row>
    <row r="1260" spans="3:8">
      <c r="C1260" s="115"/>
      <c r="D1260" s="115"/>
      <c r="E1260" s="115"/>
      <c r="F1260" s="115"/>
      <c r="G1260" s="115"/>
      <c r="H1260" s="115"/>
    </row>
    <row r="1261" spans="3:8">
      <c r="C1261" s="115"/>
      <c r="D1261" s="115"/>
      <c r="E1261" s="115"/>
      <c r="F1261" s="115"/>
      <c r="G1261" s="115"/>
      <c r="H1261" s="115"/>
    </row>
    <row r="1262" spans="3:8">
      <c r="C1262" s="115"/>
      <c r="D1262" s="115"/>
      <c r="E1262" s="115"/>
      <c r="F1262" s="115"/>
      <c r="G1262" s="115"/>
      <c r="H1262" s="115"/>
    </row>
    <row r="1263" spans="3:8">
      <c r="C1263" s="115"/>
      <c r="D1263" s="115"/>
      <c r="E1263" s="115"/>
      <c r="F1263" s="115"/>
      <c r="G1263" s="115"/>
      <c r="H1263" s="115"/>
    </row>
    <row r="1264" spans="3:8">
      <c r="C1264" s="115"/>
      <c r="D1264" s="115"/>
      <c r="E1264" s="115"/>
      <c r="F1264" s="115"/>
      <c r="G1264" s="115"/>
      <c r="H1264" s="115"/>
    </row>
    <row r="1265" spans="3:8">
      <c r="C1265" s="115"/>
      <c r="D1265" s="115"/>
      <c r="E1265" s="115"/>
      <c r="F1265" s="115"/>
      <c r="G1265" s="115"/>
      <c r="H1265" s="115"/>
    </row>
    <row r="1266" spans="3:8">
      <c r="C1266" s="115"/>
      <c r="D1266" s="115"/>
      <c r="E1266" s="115"/>
      <c r="F1266" s="115"/>
      <c r="G1266" s="115"/>
      <c r="H1266" s="115"/>
    </row>
    <row r="1267" spans="3:8">
      <c r="C1267" s="115"/>
      <c r="D1267" s="115"/>
      <c r="E1267" s="115"/>
      <c r="F1267" s="115"/>
      <c r="G1267" s="115"/>
      <c r="H1267" s="115"/>
    </row>
    <row r="1268" spans="3:8">
      <c r="C1268" s="115"/>
      <c r="D1268" s="115"/>
      <c r="E1268" s="115"/>
      <c r="F1268" s="115"/>
      <c r="G1268" s="115"/>
      <c r="H1268" s="115"/>
    </row>
    <row r="1269" spans="3:8">
      <c r="C1269" s="115"/>
      <c r="D1269" s="115"/>
      <c r="E1269" s="115"/>
      <c r="F1269" s="115"/>
      <c r="G1269" s="115"/>
      <c r="H1269" s="115"/>
    </row>
    <row r="1270" spans="3:8">
      <c r="C1270" s="115"/>
      <c r="D1270" s="115"/>
      <c r="E1270" s="115"/>
      <c r="F1270" s="115"/>
      <c r="G1270" s="115"/>
      <c r="H1270" s="115"/>
    </row>
    <row r="1271" spans="3:8">
      <c r="C1271" s="115"/>
      <c r="D1271" s="115"/>
      <c r="E1271" s="115"/>
      <c r="F1271" s="115"/>
      <c r="G1271" s="115"/>
      <c r="H1271" s="115"/>
    </row>
    <row r="1272" spans="3:8">
      <c r="C1272" s="115"/>
      <c r="D1272" s="115"/>
      <c r="E1272" s="115"/>
      <c r="F1272" s="115"/>
      <c r="G1272" s="115"/>
      <c r="H1272" s="115"/>
    </row>
    <row r="1273" spans="3:8">
      <c r="C1273" s="115"/>
      <c r="D1273" s="115"/>
      <c r="E1273" s="115"/>
      <c r="F1273" s="115"/>
      <c r="G1273" s="115"/>
      <c r="H1273" s="115"/>
    </row>
    <row r="1274" spans="3:8">
      <c r="C1274" s="115"/>
      <c r="D1274" s="115"/>
      <c r="E1274" s="115"/>
      <c r="F1274" s="115"/>
      <c r="G1274" s="115"/>
      <c r="H1274" s="115"/>
    </row>
    <row r="1275" spans="3:8">
      <c r="C1275" s="115"/>
      <c r="D1275" s="115"/>
      <c r="E1275" s="115"/>
      <c r="F1275" s="115"/>
      <c r="G1275" s="115"/>
      <c r="H1275" s="115"/>
    </row>
    <row r="1276" spans="3:8">
      <c r="C1276" s="115"/>
      <c r="D1276" s="115"/>
      <c r="E1276" s="115"/>
      <c r="F1276" s="115"/>
      <c r="G1276" s="115"/>
      <c r="H1276" s="115"/>
    </row>
    <row r="1277" spans="3:8">
      <c r="C1277" s="115"/>
      <c r="D1277" s="115"/>
      <c r="E1277" s="115"/>
      <c r="F1277" s="115"/>
      <c r="G1277" s="115"/>
      <c r="H1277" s="115"/>
    </row>
    <row r="1278" spans="3:8">
      <c r="C1278" s="115"/>
      <c r="D1278" s="115"/>
      <c r="E1278" s="115"/>
      <c r="F1278" s="115"/>
      <c r="G1278" s="115"/>
      <c r="H1278" s="115"/>
    </row>
    <row r="1279" spans="3:8">
      <c r="C1279" s="115"/>
      <c r="D1279" s="115"/>
      <c r="E1279" s="115"/>
      <c r="F1279" s="115"/>
      <c r="G1279" s="115"/>
      <c r="H1279" s="115"/>
    </row>
    <row r="1280" spans="3:8">
      <c r="C1280" s="115"/>
      <c r="D1280" s="115"/>
      <c r="E1280" s="115"/>
      <c r="F1280" s="115"/>
      <c r="G1280" s="115"/>
      <c r="H1280" s="115"/>
    </row>
    <row r="1281" spans="3:8">
      <c r="C1281" s="115"/>
      <c r="D1281" s="115"/>
      <c r="E1281" s="115"/>
      <c r="F1281" s="115"/>
      <c r="G1281" s="115"/>
      <c r="H1281" s="115"/>
    </row>
    <row r="1282" spans="3:8">
      <c r="C1282" s="115"/>
      <c r="D1282" s="115"/>
      <c r="E1282" s="115"/>
      <c r="F1282" s="115"/>
      <c r="G1282" s="115"/>
      <c r="H1282" s="115"/>
    </row>
    <row r="1283" spans="3:8">
      <c r="C1283" s="115"/>
      <c r="D1283" s="115"/>
      <c r="E1283" s="115"/>
      <c r="F1283" s="115"/>
      <c r="G1283" s="115"/>
      <c r="H1283" s="115"/>
    </row>
    <row r="1284" spans="3:8">
      <c r="C1284" s="115"/>
      <c r="D1284" s="115"/>
      <c r="E1284" s="115"/>
      <c r="F1284" s="115"/>
      <c r="G1284" s="115"/>
      <c r="H1284" s="115"/>
    </row>
    <row r="1285" spans="3:8">
      <c r="C1285" s="115"/>
      <c r="D1285" s="115"/>
      <c r="E1285" s="115"/>
      <c r="F1285" s="115"/>
      <c r="G1285" s="115"/>
      <c r="H1285" s="115"/>
    </row>
    <row r="1286" spans="3:8">
      <c r="C1286" s="115"/>
      <c r="D1286" s="115"/>
      <c r="E1286" s="115"/>
      <c r="F1286" s="115"/>
      <c r="G1286" s="115"/>
      <c r="H1286" s="115"/>
    </row>
    <row r="1287" spans="3:8">
      <c r="C1287" s="115"/>
      <c r="D1287" s="115"/>
      <c r="E1287" s="115"/>
      <c r="F1287" s="115"/>
      <c r="G1287" s="115"/>
      <c r="H1287" s="115"/>
    </row>
    <row r="1288" spans="3:8">
      <c r="C1288" s="115"/>
      <c r="D1288" s="115"/>
      <c r="E1288" s="115"/>
      <c r="F1288" s="115"/>
      <c r="G1288" s="115"/>
      <c r="H1288" s="115"/>
    </row>
    <row r="1289" spans="3:8">
      <c r="C1289" s="115"/>
      <c r="D1289" s="115"/>
      <c r="E1289" s="115"/>
      <c r="F1289" s="115"/>
      <c r="G1289" s="115"/>
      <c r="H1289" s="115"/>
    </row>
    <row r="1290" spans="3:8">
      <c r="C1290" s="115"/>
      <c r="D1290" s="115"/>
      <c r="E1290" s="115"/>
      <c r="F1290" s="115"/>
      <c r="G1290" s="115"/>
      <c r="H1290" s="115"/>
    </row>
    <row r="1291" spans="3:8">
      <c r="C1291" s="115"/>
      <c r="D1291" s="115"/>
      <c r="E1291" s="115"/>
      <c r="F1291" s="115"/>
      <c r="G1291" s="115"/>
      <c r="H1291" s="115"/>
    </row>
    <row r="1292" spans="3:8">
      <c r="C1292" s="115"/>
      <c r="D1292" s="115"/>
      <c r="E1292" s="115"/>
      <c r="F1292" s="115"/>
      <c r="G1292" s="115"/>
      <c r="H1292" s="115"/>
    </row>
    <row r="1293" spans="3:8">
      <c r="C1293" s="115"/>
      <c r="D1293" s="115"/>
      <c r="E1293" s="115"/>
      <c r="F1293" s="115"/>
      <c r="G1293" s="115"/>
      <c r="H1293" s="115"/>
    </row>
    <row r="1294" spans="3:8">
      <c r="C1294" s="115"/>
      <c r="D1294" s="115"/>
      <c r="E1294" s="115"/>
      <c r="F1294" s="115"/>
      <c r="G1294" s="115"/>
      <c r="H1294" s="115"/>
    </row>
    <row r="1295" spans="3:8">
      <c r="C1295" s="115"/>
      <c r="D1295" s="115"/>
      <c r="E1295" s="115"/>
      <c r="F1295" s="115"/>
      <c r="G1295" s="115"/>
      <c r="H1295" s="115"/>
    </row>
    <row r="1296" spans="3:8">
      <c r="C1296" s="115"/>
      <c r="D1296" s="115"/>
      <c r="E1296" s="115"/>
      <c r="F1296" s="115"/>
      <c r="G1296" s="115"/>
      <c r="H1296" s="115"/>
    </row>
    <row r="1297" spans="3:8">
      <c r="C1297" s="115"/>
      <c r="D1297" s="115"/>
      <c r="E1297" s="115"/>
      <c r="F1297" s="115"/>
      <c r="G1297" s="115"/>
      <c r="H1297" s="115"/>
    </row>
    <row r="1298" spans="3:8">
      <c r="C1298" s="115"/>
      <c r="D1298" s="115"/>
      <c r="E1298" s="115"/>
      <c r="F1298" s="115"/>
      <c r="G1298" s="115"/>
      <c r="H1298" s="115"/>
    </row>
    <row r="1299" spans="3:8">
      <c r="C1299" s="115"/>
      <c r="D1299" s="115"/>
      <c r="E1299" s="115"/>
      <c r="F1299" s="115"/>
      <c r="G1299" s="115"/>
      <c r="H1299" s="115"/>
    </row>
    <row r="1300" spans="3:8">
      <c r="C1300" s="115"/>
      <c r="D1300" s="115"/>
      <c r="E1300" s="115"/>
      <c r="F1300" s="115"/>
      <c r="G1300" s="115"/>
      <c r="H1300" s="115"/>
    </row>
    <row r="1301" spans="3:8">
      <c r="C1301" s="115"/>
      <c r="D1301" s="115"/>
      <c r="E1301" s="115"/>
      <c r="F1301" s="115"/>
      <c r="G1301" s="115"/>
      <c r="H1301" s="115"/>
    </row>
    <row r="1302" spans="3:8">
      <c r="C1302" s="115"/>
      <c r="D1302" s="115"/>
      <c r="E1302" s="115"/>
      <c r="F1302" s="115"/>
      <c r="G1302" s="115"/>
      <c r="H1302" s="115"/>
    </row>
    <row r="1303" spans="3:8">
      <c r="C1303" s="115"/>
      <c r="D1303" s="115"/>
      <c r="E1303" s="115"/>
      <c r="F1303" s="115"/>
      <c r="G1303" s="115"/>
      <c r="H1303" s="115"/>
    </row>
    <row r="1304" spans="3:8">
      <c r="C1304" s="115"/>
      <c r="D1304" s="115"/>
      <c r="E1304" s="115"/>
      <c r="F1304" s="115"/>
      <c r="G1304" s="115"/>
      <c r="H1304" s="115"/>
    </row>
    <row r="1305" spans="3:8">
      <c r="C1305" s="115"/>
      <c r="D1305" s="115"/>
      <c r="E1305" s="115"/>
      <c r="F1305" s="115"/>
      <c r="G1305" s="115"/>
      <c r="H1305" s="115"/>
    </row>
    <row r="1306" spans="3:8">
      <c r="C1306" s="115"/>
      <c r="D1306" s="115"/>
      <c r="E1306" s="115"/>
      <c r="F1306" s="115"/>
      <c r="G1306" s="115"/>
      <c r="H1306" s="115"/>
    </row>
    <row r="1307" spans="3:8">
      <c r="C1307" s="115"/>
      <c r="D1307" s="115"/>
      <c r="E1307" s="115"/>
      <c r="F1307" s="115"/>
      <c r="G1307" s="115"/>
      <c r="H1307" s="115"/>
    </row>
    <row r="1308" spans="3:8">
      <c r="C1308" s="115"/>
      <c r="D1308" s="115"/>
      <c r="E1308" s="115"/>
      <c r="F1308" s="115"/>
      <c r="G1308" s="115"/>
      <c r="H1308" s="115"/>
    </row>
    <row r="1309" spans="3:8">
      <c r="C1309" s="115"/>
      <c r="D1309" s="115"/>
      <c r="E1309" s="115"/>
      <c r="F1309" s="115"/>
      <c r="G1309" s="115"/>
      <c r="H1309" s="115"/>
    </row>
    <row r="1310" spans="3:8">
      <c r="C1310" s="115"/>
      <c r="D1310" s="115"/>
      <c r="E1310" s="115"/>
      <c r="F1310" s="115"/>
      <c r="G1310" s="115"/>
      <c r="H1310" s="115"/>
    </row>
    <row r="1311" spans="3:8">
      <c r="C1311" s="115"/>
      <c r="D1311" s="115"/>
      <c r="E1311" s="115"/>
      <c r="F1311" s="115"/>
      <c r="G1311" s="115"/>
      <c r="H1311" s="115"/>
    </row>
    <row r="1312" spans="3:8">
      <c r="C1312" s="115"/>
      <c r="D1312" s="115"/>
      <c r="E1312" s="115"/>
      <c r="F1312" s="115"/>
      <c r="G1312" s="115"/>
      <c r="H1312" s="115"/>
    </row>
    <row r="1313" spans="3:8">
      <c r="C1313" s="115"/>
      <c r="D1313" s="115"/>
      <c r="E1313" s="115"/>
      <c r="F1313" s="115"/>
      <c r="G1313" s="115"/>
      <c r="H1313" s="115"/>
    </row>
    <row r="1314" spans="3:8">
      <c r="C1314" s="115"/>
      <c r="D1314" s="115"/>
      <c r="E1314" s="115"/>
      <c r="F1314" s="115"/>
      <c r="G1314" s="115"/>
      <c r="H1314" s="115"/>
    </row>
    <row r="1315" spans="3:8">
      <c r="C1315" s="115"/>
      <c r="D1315" s="115"/>
      <c r="E1315" s="115"/>
      <c r="F1315" s="115"/>
      <c r="G1315" s="115"/>
      <c r="H1315" s="115"/>
    </row>
    <row r="1316" spans="3:8">
      <c r="C1316" s="115"/>
      <c r="D1316" s="115"/>
      <c r="E1316" s="115"/>
      <c r="F1316" s="115"/>
      <c r="G1316" s="115"/>
      <c r="H1316" s="115"/>
    </row>
    <row r="1317" spans="3:8">
      <c r="C1317" s="115"/>
      <c r="D1317" s="115"/>
      <c r="E1317" s="115"/>
      <c r="F1317" s="115"/>
      <c r="G1317" s="115"/>
      <c r="H1317" s="115"/>
    </row>
    <row r="1318" spans="3:8">
      <c r="C1318" s="115"/>
      <c r="D1318" s="115"/>
      <c r="E1318" s="115"/>
      <c r="F1318" s="115"/>
      <c r="G1318" s="115"/>
      <c r="H1318" s="115"/>
    </row>
    <row r="1319" spans="3:8">
      <c r="C1319" s="115"/>
      <c r="D1319" s="115"/>
      <c r="E1319" s="115"/>
      <c r="F1319" s="115"/>
      <c r="G1319" s="115"/>
      <c r="H1319" s="115"/>
    </row>
    <row r="1320" spans="3:8">
      <c r="C1320" s="115"/>
      <c r="D1320" s="115"/>
      <c r="E1320" s="115"/>
      <c r="F1320" s="115"/>
      <c r="G1320" s="115"/>
      <c r="H1320" s="115"/>
    </row>
    <row r="1321" spans="3:8">
      <c r="C1321" s="115"/>
      <c r="D1321" s="115"/>
      <c r="E1321" s="115"/>
      <c r="F1321" s="115"/>
      <c r="G1321" s="115"/>
      <c r="H1321" s="115"/>
    </row>
    <row r="1322" spans="3:8">
      <c r="C1322" s="115"/>
      <c r="D1322" s="115"/>
      <c r="E1322" s="115"/>
      <c r="F1322" s="115"/>
      <c r="G1322" s="115"/>
      <c r="H1322" s="115"/>
    </row>
    <row r="1323" spans="3:8">
      <c r="C1323" s="115"/>
      <c r="D1323" s="115"/>
      <c r="E1323" s="115"/>
      <c r="F1323" s="115"/>
      <c r="G1323" s="115"/>
      <c r="H1323" s="115"/>
    </row>
    <row r="1324" spans="3:8">
      <c r="C1324" s="115"/>
      <c r="D1324" s="115"/>
      <c r="E1324" s="115"/>
      <c r="F1324" s="115"/>
      <c r="G1324" s="115"/>
      <c r="H1324" s="115"/>
    </row>
    <row r="1325" spans="3:8">
      <c r="C1325" s="115"/>
      <c r="D1325" s="115"/>
      <c r="E1325" s="115"/>
      <c r="F1325" s="115"/>
      <c r="G1325" s="115"/>
      <c r="H1325" s="115"/>
    </row>
    <row r="1326" spans="3:8">
      <c r="C1326" s="115"/>
      <c r="D1326" s="115"/>
      <c r="E1326" s="115"/>
      <c r="F1326" s="115"/>
      <c r="G1326" s="115"/>
      <c r="H1326" s="115"/>
    </row>
    <row r="1327" spans="3:8">
      <c r="C1327" s="115"/>
      <c r="D1327" s="115"/>
      <c r="E1327" s="115"/>
      <c r="F1327" s="115"/>
      <c r="G1327" s="115"/>
      <c r="H1327" s="115"/>
    </row>
    <row r="1328" spans="3:8">
      <c r="C1328" s="115"/>
      <c r="D1328" s="115"/>
      <c r="E1328" s="115"/>
      <c r="F1328" s="115"/>
      <c r="G1328" s="115"/>
      <c r="H1328" s="115"/>
    </row>
    <row r="1329" spans="3:8">
      <c r="C1329" s="115"/>
      <c r="D1329" s="115"/>
      <c r="E1329" s="115"/>
      <c r="F1329" s="115"/>
      <c r="G1329" s="115"/>
      <c r="H1329" s="115"/>
    </row>
    <row r="1330" spans="3:8">
      <c r="C1330" s="115"/>
      <c r="D1330" s="115"/>
      <c r="E1330" s="115"/>
      <c r="F1330" s="115"/>
      <c r="G1330" s="115"/>
      <c r="H1330" s="115"/>
    </row>
    <row r="1331" spans="3:8">
      <c r="C1331" s="115"/>
      <c r="D1331" s="115"/>
      <c r="E1331" s="115"/>
      <c r="F1331" s="115"/>
      <c r="G1331" s="115"/>
      <c r="H1331" s="115"/>
    </row>
    <row r="1332" spans="3:8">
      <c r="C1332" s="115"/>
      <c r="D1332" s="115"/>
      <c r="E1332" s="115"/>
      <c r="F1332" s="115"/>
      <c r="G1332" s="115"/>
      <c r="H1332" s="115"/>
    </row>
    <row r="1333" spans="3:8">
      <c r="C1333" s="115"/>
      <c r="D1333" s="115"/>
      <c r="E1333" s="115"/>
      <c r="F1333" s="115"/>
      <c r="G1333" s="115"/>
      <c r="H1333" s="115"/>
    </row>
    <row r="1334" spans="3:8">
      <c r="C1334" s="115"/>
      <c r="D1334" s="115"/>
      <c r="E1334" s="115"/>
      <c r="F1334" s="115"/>
      <c r="G1334" s="115"/>
      <c r="H1334" s="115"/>
    </row>
    <row r="1335" spans="3:8">
      <c r="C1335" s="115"/>
      <c r="D1335" s="115"/>
      <c r="E1335" s="115"/>
      <c r="F1335" s="115"/>
      <c r="G1335" s="115"/>
      <c r="H1335" s="115"/>
    </row>
    <row r="1336" spans="3:8">
      <c r="C1336" s="115"/>
      <c r="D1336" s="115"/>
      <c r="E1336" s="115"/>
      <c r="F1336" s="115"/>
      <c r="G1336" s="115"/>
      <c r="H1336" s="115"/>
    </row>
    <row r="1337" spans="3:8">
      <c r="C1337" s="115"/>
      <c r="D1337" s="115"/>
      <c r="E1337" s="115"/>
      <c r="F1337" s="115"/>
      <c r="G1337" s="115"/>
      <c r="H1337" s="115"/>
    </row>
    <row r="1338" spans="3:8">
      <c r="C1338" s="115"/>
      <c r="D1338" s="115"/>
      <c r="E1338" s="115"/>
      <c r="F1338" s="115"/>
      <c r="G1338" s="115"/>
      <c r="H1338" s="115"/>
    </row>
    <row r="1339" spans="3:8">
      <c r="C1339" s="115"/>
      <c r="D1339" s="115"/>
      <c r="E1339" s="115"/>
      <c r="F1339" s="115"/>
      <c r="G1339" s="115"/>
      <c r="H1339" s="115"/>
    </row>
    <row r="1340" spans="3:8">
      <c r="C1340" s="115"/>
      <c r="D1340" s="115"/>
      <c r="E1340" s="115"/>
      <c r="F1340" s="115"/>
      <c r="G1340" s="115"/>
      <c r="H1340" s="115"/>
    </row>
    <row r="1341" spans="3:8">
      <c r="C1341" s="115"/>
      <c r="D1341" s="115"/>
      <c r="E1341" s="115"/>
      <c r="F1341" s="115"/>
      <c r="G1341" s="115"/>
      <c r="H1341" s="115"/>
    </row>
    <row r="1342" spans="3:8">
      <c r="C1342" s="115"/>
      <c r="D1342" s="115"/>
      <c r="E1342" s="115"/>
      <c r="F1342" s="115"/>
      <c r="G1342" s="115"/>
      <c r="H1342" s="115"/>
    </row>
    <row r="1343" spans="3:8">
      <c r="C1343" s="115"/>
      <c r="D1343" s="115"/>
      <c r="E1343" s="115"/>
      <c r="F1343" s="115"/>
      <c r="G1343" s="115"/>
      <c r="H1343" s="115"/>
    </row>
    <row r="1344" spans="3:8">
      <c r="C1344" s="115"/>
      <c r="D1344" s="115"/>
      <c r="E1344" s="115"/>
      <c r="F1344" s="115"/>
      <c r="G1344" s="115"/>
      <c r="H1344" s="115"/>
    </row>
    <row r="1345" spans="3:8">
      <c r="C1345" s="115"/>
      <c r="D1345" s="115"/>
      <c r="E1345" s="115"/>
      <c r="F1345" s="115"/>
      <c r="G1345" s="115"/>
      <c r="H1345" s="115"/>
    </row>
    <row r="1346" spans="3:8">
      <c r="C1346" s="115"/>
      <c r="D1346" s="115"/>
      <c r="E1346" s="115"/>
      <c r="F1346" s="115"/>
      <c r="G1346" s="115"/>
      <c r="H1346" s="115"/>
    </row>
    <row r="1347" spans="3:8">
      <c r="C1347" s="115"/>
      <c r="D1347" s="115"/>
      <c r="E1347" s="115"/>
      <c r="F1347" s="115"/>
      <c r="G1347" s="115"/>
      <c r="H1347" s="115"/>
    </row>
    <row r="1348" spans="3:8">
      <c r="C1348" s="115"/>
      <c r="D1348" s="115"/>
      <c r="E1348" s="115"/>
      <c r="F1348" s="115"/>
      <c r="G1348" s="115"/>
      <c r="H1348" s="115"/>
    </row>
    <row r="1349" spans="3:8">
      <c r="C1349" s="115"/>
      <c r="D1349" s="115"/>
      <c r="E1349" s="115"/>
      <c r="F1349" s="115"/>
      <c r="G1349" s="115"/>
      <c r="H1349" s="115"/>
    </row>
    <row r="1350" spans="3:8">
      <c r="C1350" s="115"/>
      <c r="D1350" s="115"/>
      <c r="E1350" s="115"/>
      <c r="F1350" s="115"/>
      <c r="G1350" s="115"/>
      <c r="H1350" s="115"/>
    </row>
    <row r="1351" spans="3:8">
      <c r="C1351" s="115"/>
      <c r="D1351" s="115"/>
      <c r="E1351" s="115"/>
      <c r="F1351" s="115"/>
      <c r="G1351" s="115"/>
      <c r="H1351" s="115"/>
    </row>
    <row r="1352" spans="3:8">
      <c r="C1352" s="115"/>
      <c r="D1352" s="115"/>
      <c r="E1352" s="115"/>
      <c r="F1352" s="115"/>
      <c r="G1352" s="115"/>
      <c r="H1352" s="115"/>
    </row>
    <row r="1353" spans="3:8">
      <c r="C1353" s="115"/>
      <c r="D1353" s="115"/>
      <c r="E1353" s="115"/>
      <c r="F1353" s="115"/>
      <c r="G1353" s="115"/>
      <c r="H1353" s="115"/>
    </row>
    <row r="1354" spans="3:8">
      <c r="C1354" s="115"/>
      <c r="D1354" s="115"/>
      <c r="E1354" s="115"/>
      <c r="F1354" s="115"/>
      <c r="G1354" s="115"/>
      <c r="H1354" s="115"/>
    </row>
    <row r="1355" spans="3:8">
      <c r="C1355" s="115"/>
      <c r="D1355" s="115"/>
      <c r="E1355" s="115"/>
      <c r="F1355" s="115"/>
      <c r="G1355" s="115"/>
      <c r="H1355" s="115"/>
    </row>
    <row r="1356" spans="3:8">
      <c r="C1356" s="115"/>
      <c r="D1356" s="115"/>
      <c r="E1356" s="115"/>
      <c r="F1356" s="115"/>
      <c r="G1356" s="115"/>
      <c r="H1356" s="115"/>
    </row>
    <row r="1357" spans="3:8">
      <c r="C1357" s="115"/>
      <c r="D1357" s="115"/>
      <c r="E1357" s="115"/>
      <c r="F1357" s="115"/>
      <c r="G1357" s="115"/>
      <c r="H1357" s="115"/>
    </row>
    <row r="1358" spans="3:8">
      <c r="C1358" s="115"/>
      <c r="D1358" s="115"/>
      <c r="E1358" s="115"/>
      <c r="F1358" s="115"/>
      <c r="G1358" s="115"/>
      <c r="H1358" s="115"/>
    </row>
    <row r="1359" spans="3:8">
      <c r="C1359" s="115"/>
      <c r="D1359" s="115"/>
      <c r="E1359" s="115"/>
      <c r="F1359" s="115"/>
      <c r="G1359" s="115"/>
      <c r="H1359" s="115"/>
    </row>
    <row r="1360" spans="3:8">
      <c r="C1360" s="115"/>
      <c r="D1360" s="115"/>
      <c r="E1360" s="115"/>
      <c r="F1360" s="115"/>
      <c r="G1360" s="115"/>
      <c r="H1360" s="115"/>
    </row>
    <row r="1361" spans="3:8">
      <c r="C1361" s="115"/>
      <c r="D1361" s="115"/>
      <c r="E1361" s="115"/>
      <c r="F1361" s="115"/>
      <c r="G1361" s="115"/>
      <c r="H1361" s="115"/>
    </row>
    <row r="1362" spans="3:8">
      <c r="C1362" s="115"/>
      <c r="D1362" s="115"/>
      <c r="E1362" s="115"/>
      <c r="F1362" s="115"/>
      <c r="G1362" s="115"/>
      <c r="H1362" s="115"/>
    </row>
    <row r="1363" spans="3:8">
      <c r="C1363" s="115"/>
      <c r="D1363" s="115"/>
      <c r="E1363" s="115"/>
      <c r="F1363" s="115"/>
      <c r="G1363" s="115"/>
      <c r="H1363" s="115"/>
    </row>
    <row r="1364" spans="3:8">
      <c r="C1364" s="115"/>
      <c r="D1364" s="115"/>
      <c r="E1364" s="115"/>
      <c r="F1364" s="115"/>
      <c r="G1364" s="115"/>
      <c r="H1364" s="115"/>
    </row>
    <row r="1365" spans="3:8">
      <c r="C1365" s="115"/>
      <c r="D1365" s="115"/>
      <c r="E1365" s="115"/>
      <c r="F1365" s="115"/>
      <c r="G1365" s="115"/>
      <c r="H1365" s="115"/>
    </row>
    <row r="1366" spans="3:8">
      <c r="C1366" s="115"/>
      <c r="D1366" s="115"/>
      <c r="E1366" s="115"/>
      <c r="F1366" s="115"/>
      <c r="G1366" s="115"/>
      <c r="H1366" s="115"/>
    </row>
    <row r="1367" spans="3:8">
      <c r="C1367" s="115"/>
      <c r="D1367" s="115"/>
      <c r="E1367" s="115"/>
      <c r="F1367" s="115"/>
      <c r="G1367" s="115"/>
      <c r="H1367" s="115"/>
    </row>
    <row r="1368" spans="3:8">
      <c r="C1368" s="115"/>
      <c r="D1368" s="115"/>
      <c r="E1368" s="115"/>
      <c r="F1368" s="115"/>
      <c r="G1368" s="115"/>
      <c r="H1368" s="115"/>
    </row>
    <row r="1369" spans="3:8">
      <c r="C1369" s="115"/>
      <c r="D1369" s="115"/>
      <c r="E1369" s="115"/>
      <c r="F1369" s="115"/>
      <c r="G1369" s="115"/>
      <c r="H1369" s="115"/>
    </row>
    <row r="1370" spans="3:8">
      <c r="C1370" s="115"/>
      <c r="D1370" s="115"/>
      <c r="E1370" s="115"/>
      <c r="F1370" s="115"/>
      <c r="G1370" s="115"/>
      <c r="H1370" s="115"/>
    </row>
    <row r="1371" spans="3:8">
      <c r="C1371" s="115"/>
      <c r="D1371" s="115"/>
      <c r="E1371" s="115"/>
      <c r="F1371" s="115"/>
      <c r="G1371" s="115"/>
      <c r="H1371" s="115"/>
    </row>
    <row r="1372" spans="3:8">
      <c r="C1372" s="115"/>
      <c r="D1372" s="115"/>
      <c r="E1372" s="115"/>
      <c r="F1372" s="115"/>
      <c r="G1372" s="115"/>
      <c r="H1372" s="115"/>
    </row>
    <row r="1373" spans="3:8">
      <c r="C1373" s="115"/>
      <c r="D1373" s="115"/>
      <c r="E1373" s="115"/>
      <c r="F1373" s="115"/>
      <c r="G1373" s="115"/>
      <c r="H1373" s="115"/>
    </row>
    <row r="1374" spans="3:8">
      <c r="C1374" s="115"/>
      <c r="D1374" s="115"/>
      <c r="E1374" s="115"/>
      <c r="F1374" s="115"/>
      <c r="G1374" s="115"/>
      <c r="H1374" s="115"/>
    </row>
    <row r="1375" spans="3:8">
      <c r="C1375" s="115"/>
      <c r="D1375" s="115"/>
      <c r="E1375" s="115"/>
      <c r="F1375" s="115"/>
      <c r="G1375" s="115"/>
      <c r="H1375" s="115"/>
    </row>
    <row r="1376" spans="3:8">
      <c r="C1376" s="115"/>
      <c r="D1376" s="115"/>
      <c r="E1376" s="115"/>
      <c r="F1376" s="115"/>
      <c r="G1376" s="115"/>
      <c r="H1376" s="115"/>
    </row>
    <row r="1377" spans="3:8">
      <c r="C1377" s="115"/>
      <c r="D1377" s="115"/>
      <c r="E1377" s="115"/>
      <c r="F1377" s="115"/>
      <c r="G1377" s="115"/>
      <c r="H1377" s="115"/>
    </row>
    <row r="1378" spans="3:8">
      <c r="C1378" s="115"/>
      <c r="D1378" s="115"/>
      <c r="E1378" s="115"/>
      <c r="F1378" s="115"/>
      <c r="G1378" s="115"/>
      <c r="H1378" s="115"/>
    </row>
    <row r="1379" spans="3:8">
      <c r="C1379" s="115"/>
      <c r="D1379" s="115"/>
      <c r="E1379" s="115"/>
      <c r="F1379" s="115"/>
      <c r="G1379" s="115"/>
      <c r="H1379" s="115"/>
    </row>
    <row r="1380" spans="3:8">
      <c r="C1380" s="115"/>
      <c r="D1380" s="115"/>
      <c r="E1380" s="115"/>
      <c r="F1380" s="115"/>
      <c r="G1380" s="115"/>
      <c r="H1380" s="115"/>
    </row>
    <row r="1381" spans="3:8">
      <c r="C1381" s="115"/>
      <c r="D1381" s="115"/>
      <c r="E1381" s="115"/>
      <c r="F1381" s="115"/>
      <c r="G1381" s="115"/>
      <c r="H1381" s="115"/>
    </row>
    <row r="1382" spans="3:8">
      <c r="C1382" s="115"/>
      <c r="D1382" s="115"/>
      <c r="E1382" s="115"/>
      <c r="F1382" s="115"/>
      <c r="G1382" s="115"/>
      <c r="H1382" s="115"/>
    </row>
    <row r="1383" spans="3:8">
      <c r="C1383" s="115"/>
      <c r="D1383" s="115"/>
      <c r="E1383" s="115"/>
      <c r="F1383" s="115"/>
      <c r="G1383" s="115"/>
      <c r="H1383" s="115"/>
    </row>
    <row r="1384" spans="3:8">
      <c r="C1384" s="115"/>
      <c r="D1384" s="115"/>
      <c r="E1384" s="115"/>
      <c r="F1384" s="115"/>
      <c r="G1384" s="115"/>
      <c r="H1384" s="115"/>
    </row>
    <row r="1385" spans="3:8">
      <c r="C1385" s="115"/>
      <c r="D1385" s="115"/>
      <c r="E1385" s="115"/>
      <c r="F1385" s="115"/>
      <c r="G1385" s="115"/>
      <c r="H1385" s="115"/>
    </row>
    <row r="1386" spans="3:8">
      <c r="C1386" s="115"/>
      <c r="D1386" s="115"/>
      <c r="E1386" s="115"/>
      <c r="F1386" s="115"/>
      <c r="G1386" s="115"/>
      <c r="H1386" s="115"/>
    </row>
    <row r="1387" spans="3:8">
      <c r="C1387" s="115"/>
      <c r="D1387" s="115"/>
      <c r="E1387" s="115"/>
      <c r="F1387" s="115"/>
      <c r="G1387" s="115"/>
      <c r="H1387" s="115"/>
    </row>
    <row r="1388" spans="3:8">
      <c r="C1388" s="115"/>
      <c r="D1388" s="115"/>
      <c r="E1388" s="115"/>
      <c r="F1388" s="115"/>
      <c r="G1388" s="115"/>
      <c r="H1388" s="115"/>
    </row>
    <row r="1389" spans="3:8">
      <c r="C1389" s="115"/>
      <c r="D1389" s="115"/>
      <c r="E1389" s="115"/>
      <c r="F1389" s="115"/>
      <c r="G1389" s="115"/>
      <c r="H1389" s="115"/>
    </row>
    <row r="1390" spans="3:8">
      <c r="C1390" s="115"/>
      <c r="D1390" s="115"/>
      <c r="E1390" s="115"/>
      <c r="F1390" s="115"/>
      <c r="G1390" s="115"/>
      <c r="H1390" s="115"/>
    </row>
    <row r="1391" spans="3:8">
      <c r="C1391" s="115"/>
      <c r="D1391" s="115"/>
      <c r="E1391" s="115"/>
      <c r="F1391" s="115"/>
      <c r="G1391" s="115"/>
      <c r="H1391" s="115"/>
    </row>
    <row r="1392" spans="3:8">
      <c r="C1392" s="115"/>
      <c r="D1392" s="115"/>
      <c r="E1392" s="115"/>
      <c r="F1392" s="115"/>
      <c r="G1392" s="115"/>
      <c r="H1392" s="115"/>
    </row>
    <row r="1393" spans="3:8">
      <c r="C1393" s="115"/>
      <c r="D1393" s="115"/>
      <c r="E1393" s="115"/>
      <c r="F1393" s="115"/>
      <c r="G1393" s="115"/>
      <c r="H1393" s="115"/>
    </row>
    <row r="1394" spans="3:8">
      <c r="C1394" s="115"/>
      <c r="D1394" s="115"/>
      <c r="E1394" s="115"/>
      <c r="F1394" s="115"/>
      <c r="G1394" s="115"/>
      <c r="H1394" s="115"/>
    </row>
    <row r="1395" spans="3:8">
      <c r="C1395" s="115"/>
      <c r="D1395" s="115"/>
      <c r="E1395" s="115"/>
      <c r="F1395" s="115"/>
      <c r="G1395" s="115"/>
      <c r="H1395" s="115"/>
    </row>
    <row r="1396" spans="3:8">
      <c r="C1396" s="115"/>
      <c r="D1396" s="115"/>
      <c r="E1396" s="115"/>
      <c r="F1396" s="115"/>
      <c r="G1396" s="115"/>
      <c r="H1396" s="115"/>
    </row>
    <row r="1397" spans="3:8">
      <c r="C1397" s="115"/>
      <c r="D1397" s="115"/>
      <c r="E1397" s="115"/>
      <c r="F1397" s="115"/>
      <c r="G1397" s="115"/>
      <c r="H1397" s="115"/>
    </row>
    <row r="1398" spans="3:8">
      <c r="C1398" s="115"/>
      <c r="D1398" s="115"/>
      <c r="E1398" s="115"/>
      <c r="F1398" s="115"/>
      <c r="G1398" s="115"/>
      <c r="H1398" s="115"/>
    </row>
    <row r="1399" spans="3:8">
      <c r="C1399" s="115"/>
      <c r="D1399" s="115"/>
      <c r="E1399" s="115"/>
      <c r="F1399" s="115"/>
      <c r="G1399" s="115"/>
      <c r="H1399" s="115"/>
    </row>
    <row r="1400" spans="3:8">
      <c r="C1400" s="115"/>
      <c r="D1400" s="115"/>
      <c r="E1400" s="115"/>
      <c r="F1400" s="115"/>
      <c r="G1400" s="115"/>
      <c r="H1400" s="115"/>
    </row>
    <row r="1401" spans="3:8">
      <c r="C1401" s="115"/>
      <c r="D1401" s="115"/>
      <c r="E1401" s="115"/>
      <c r="F1401" s="115"/>
      <c r="G1401" s="115"/>
      <c r="H1401" s="115"/>
    </row>
    <row r="1402" spans="3:8">
      <c r="C1402" s="115"/>
      <c r="D1402" s="115"/>
      <c r="E1402" s="115"/>
      <c r="F1402" s="115"/>
      <c r="G1402" s="115"/>
      <c r="H1402" s="115"/>
    </row>
    <row r="1403" spans="3:8">
      <c r="C1403" s="115"/>
      <c r="D1403" s="115"/>
      <c r="E1403" s="115"/>
      <c r="F1403" s="115"/>
      <c r="G1403" s="115"/>
      <c r="H1403" s="115"/>
    </row>
    <row r="1404" spans="3:8">
      <c r="C1404" s="115"/>
      <c r="D1404" s="115"/>
      <c r="E1404" s="115"/>
      <c r="F1404" s="115"/>
      <c r="G1404" s="115"/>
      <c r="H1404" s="115"/>
    </row>
    <row r="1405" spans="3:8">
      <c r="C1405" s="115"/>
      <c r="D1405" s="115"/>
      <c r="E1405" s="115"/>
      <c r="F1405" s="115"/>
      <c r="G1405" s="115"/>
      <c r="H1405" s="115"/>
    </row>
    <row r="1406" spans="3:8">
      <c r="C1406" s="115"/>
      <c r="D1406" s="115"/>
      <c r="E1406" s="115"/>
      <c r="F1406" s="115"/>
      <c r="G1406" s="115"/>
      <c r="H1406" s="115"/>
    </row>
    <row r="1407" spans="3:8">
      <c r="C1407" s="115"/>
      <c r="D1407" s="115"/>
      <c r="E1407" s="115"/>
      <c r="F1407" s="115"/>
      <c r="G1407" s="115"/>
      <c r="H1407" s="115"/>
    </row>
    <row r="1408" spans="3:8">
      <c r="C1408" s="115"/>
      <c r="D1408" s="115"/>
      <c r="E1408" s="115"/>
      <c r="F1408" s="115"/>
      <c r="G1408" s="115"/>
      <c r="H1408" s="115"/>
    </row>
    <row r="1409" spans="3:8">
      <c r="C1409" s="115"/>
      <c r="D1409" s="115"/>
      <c r="E1409" s="115"/>
      <c r="F1409" s="115"/>
      <c r="G1409" s="115"/>
      <c r="H1409" s="115"/>
    </row>
    <row r="1410" spans="3:8">
      <c r="C1410" s="115"/>
      <c r="D1410" s="115"/>
      <c r="E1410" s="115"/>
      <c r="F1410" s="115"/>
      <c r="G1410" s="115"/>
      <c r="H1410" s="115"/>
    </row>
    <row r="1411" spans="3:8">
      <c r="C1411" s="115"/>
      <c r="D1411" s="115"/>
      <c r="E1411" s="115"/>
      <c r="F1411" s="115"/>
      <c r="G1411" s="115"/>
      <c r="H1411" s="115"/>
    </row>
    <row r="1412" spans="3:8">
      <c r="C1412" s="115"/>
      <c r="D1412" s="115"/>
      <c r="E1412" s="115"/>
      <c r="F1412" s="115"/>
      <c r="G1412" s="115"/>
      <c r="H1412" s="115"/>
    </row>
    <row r="1413" spans="3:8">
      <c r="C1413" s="115"/>
      <c r="D1413" s="115"/>
      <c r="E1413" s="115"/>
      <c r="F1413" s="115"/>
      <c r="G1413" s="115"/>
      <c r="H1413" s="115"/>
    </row>
    <row r="1414" spans="3:8">
      <c r="C1414" s="115"/>
      <c r="D1414" s="115"/>
      <c r="E1414" s="115"/>
      <c r="F1414" s="115"/>
      <c r="G1414" s="115"/>
      <c r="H1414" s="115"/>
    </row>
    <row r="1415" spans="3:8">
      <c r="C1415" s="115"/>
      <c r="D1415" s="115"/>
      <c r="E1415" s="115"/>
      <c r="F1415" s="115"/>
      <c r="G1415" s="115"/>
      <c r="H1415" s="115"/>
    </row>
    <row r="1416" spans="3:8">
      <c r="C1416" s="115"/>
      <c r="D1416" s="115"/>
      <c r="E1416" s="115"/>
      <c r="F1416" s="115"/>
      <c r="G1416" s="115"/>
      <c r="H1416" s="115"/>
    </row>
    <row r="1417" spans="3:8">
      <c r="C1417" s="115"/>
      <c r="D1417" s="115"/>
      <c r="E1417" s="115"/>
      <c r="F1417" s="115"/>
      <c r="G1417" s="115"/>
      <c r="H1417" s="115"/>
    </row>
    <row r="1418" spans="3:8">
      <c r="C1418" s="115"/>
      <c r="D1418" s="115"/>
      <c r="E1418" s="115"/>
      <c r="F1418" s="115"/>
      <c r="G1418" s="115"/>
      <c r="H1418" s="115"/>
    </row>
    <row r="1419" spans="3:8">
      <c r="C1419" s="115"/>
      <c r="D1419" s="115"/>
      <c r="E1419" s="115"/>
      <c r="F1419" s="115"/>
      <c r="G1419" s="115"/>
      <c r="H1419" s="115"/>
    </row>
    <row r="1420" spans="3:8">
      <c r="C1420" s="115"/>
      <c r="D1420" s="115"/>
      <c r="E1420" s="115"/>
      <c r="F1420" s="115"/>
      <c r="G1420" s="115"/>
      <c r="H1420" s="115"/>
    </row>
    <row r="1421" spans="3:8">
      <c r="C1421" s="115"/>
      <c r="D1421" s="115"/>
      <c r="E1421" s="115"/>
      <c r="F1421" s="115"/>
      <c r="G1421" s="115"/>
      <c r="H1421" s="115"/>
    </row>
    <row r="1422" spans="3:8">
      <c r="C1422" s="115"/>
      <c r="D1422" s="115"/>
      <c r="E1422" s="115"/>
      <c r="F1422" s="115"/>
      <c r="G1422" s="115"/>
      <c r="H1422" s="115"/>
    </row>
    <row r="1423" spans="3:8">
      <c r="C1423" s="115"/>
      <c r="D1423" s="115"/>
      <c r="E1423" s="115"/>
      <c r="F1423" s="115"/>
      <c r="G1423" s="115"/>
      <c r="H1423" s="115"/>
    </row>
    <row r="1424" spans="3:8">
      <c r="C1424" s="115"/>
      <c r="D1424" s="115"/>
      <c r="E1424" s="115"/>
      <c r="F1424" s="115"/>
      <c r="G1424" s="115"/>
      <c r="H1424" s="115"/>
    </row>
    <row r="1425" spans="3:8">
      <c r="C1425" s="115"/>
      <c r="D1425" s="115"/>
      <c r="E1425" s="115"/>
      <c r="F1425" s="115"/>
      <c r="G1425" s="115"/>
      <c r="H1425" s="115"/>
    </row>
    <row r="1426" spans="3:8">
      <c r="C1426" s="115"/>
      <c r="D1426" s="115"/>
      <c r="E1426" s="115"/>
      <c r="F1426" s="115"/>
      <c r="G1426" s="115"/>
      <c r="H1426" s="115"/>
    </row>
    <row r="1427" spans="3:8">
      <c r="C1427" s="115"/>
      <c r="D1427" s="115"/>
      <c r="E1427" s="115"/>
      <c r="F1427" s="115"/>
      <c r="G1427" s="115"/>
      <c r="H1427" s="115"/>
    </row>
    <row r="1428" spans="3:8">
      <c r="C1428" s="115"/>
      <c r="D1428" s="115"/>
      <c r="E1428" s="115"/>
      <c r="F1428" s="115"/>
      <c r="G1428" s="115"/>
      <c r="H1428" s="115"/>
    </row>
    <row r="1429" spans="3:8">
      <c r="C1429" s="115"/>
      <c r="D1429" s="115"/>
      <c r="E1429" s="115"/>
      <c r="F1429" s="115"/>
      <c r="G1429" s="115"/>
      <c r="H1429" s="115"/>
    </row>
    <row r="1430" spans="3:8">
      <c r="C1430" s="115"/>
      <c r="D1430" s="115"/>
      <c r="E1430" s="115"/>
      <c r="F1430" s="115"/>
      <c r="G1430" s="115"/>
      <c r="H1430" s="115"/>
    </row>
    <row r="1431" spans="3:8">
      <c r="C1431" s="115"/>
      <c r="D1431" s="115"/>
      <c r="E1431" s="115"/>
      <c r="F1431" s="115"/>
      <c r="G1431" s="115"/>
      <c r="H1431" s="115"/>
    </row>
    <row r="1432" spans="3:8">
      <c r="C1432" s="115"/>
      <c r="D1432" s="115"/>
      <c r="E1432" s="115"/>
      <c r="F1432" s="115"/>
      <c r="G1432" s="115"/>
      <c r="H1432" s="115"/>
    </row>
    <row r="1433" spans="3:8">
      <c r="C1433" s="115"/>
      <c r="D1433" s="115"/>
      <c r="E1433" s="115"/>
      <c r="F1433" s="115"/>
      <c r="G1433" s="115"/>
      <c r="H1433" s="115"/>
    </row>
    <row r="1434" spans="3:8">
      <c r="C1434" s="115"/>
      <c r="D1434" s="115"/>
      <c r="E1434" s="115"/>
      <c r="F1434" s="115"/>
      <c r="G1434" s="115"/>
      <c r="H1434" s="115"/>
    </row>
    <row r="1435" spans="3:8">
      <c r="C1435" s="115"/>
      <c r="D1435" s="115"/>
      <c r="E1435" s="115"/>
      <c r="F1435" s="115"/>
      <c r="G1435" s="115"/>
      <c r="H1435" s="115"/>
    </row>
    <row r="1436" spans="3:8">
      <c r="C1436" s="115"/>
      <c r="D1436" s="115"/>
      <c r="E1436" s="115"/>
      <c r="F1436" s="115"/>
      <c r="G1436" s="115"/>
      <c r="H1436" s="115"/>
    </row>
    <row r="1437" spans="3:8">
      <c r="C1437" s="115"/>
      <c r="D1437" s="115"/>
      <c r="E1437" s="115"/>
      <c r="F1437" s="115"/>
      <c r="G1437" s="115"/>
      <c r="H1437" s="115"/>
    </row>
    <row r="1438" spans="3:8">
      <c r="C1438" s="115"/>
      <c r="D1438" s="115"/>
      <c r="E1438" s="115"/>
      <c r="F1438" s="115"/>
      <c r="G1438" s="115"/>
      <c r="H1438" s="115"/>
    </row>
    <row r="1439" spans="3:8">
      <c r="C1439" s="115"/>
      <c r="D1439" s="115"/>
      <c r="E1439" s="115"/>
      <c r="F1439" s="115"/>
      <c r="G1439" s="115"/>
      <c r="H1439" s="115"/>
    </row>
    <row r="1440" spans="3:8">
      <c r="C1440" s="115"/>
      <c r="D1440" s="115"/>
      <c r="E1440" s="115"/>
      <c r="F1440" s="115"/>
      <c r="G1440" s="115"/>
      <c r="H1440" s="115"/>
    </row>
    <row r="1441" spans="3:8">
      <c r="C1441" s="115"/>
      <c r="D1441" s="115"/>
      <c r="E1441" s="115"/>
      <c r="F1441" s="115"/>
      <c r="G1441" s="115"/>
      <c r="H1441" s="115"/>
    </row>
    <row r="1442" spans="3:8">
      <c r="C1442" s="115"/>
      <c r="D1442" s="115"/>
      <c r="E1442" s="115"/>
      <c r="F1442" s="115"/>
      <c r="G1442" s="115"/>
      <c r="H1442" s="115"/>
    </row>
    <row r="1443" spans="3:8">
      <c r="C1443" s="115"/>
      <c r="D1443" s="115"/>
      <c r="E1443" s="115"/>
      <c r="F1443" s="115"/>
      <c r="G1443" s="115"/>
      <c r="H1443" s="115"/>
    </row>
    <row r="1444" spans="3:8">
      <c r="C1444" s="115"/>
      <c r="D1444" s="115"/>
      <c r="E1444" s="115"/>
      <c r="F1444" s="115"/>
      <c r="G1444" s="115"/>
      <c r="H1444" s="115"/>
    </row>
    <row r="1445" spans="3:8">
      <c r="C1445" s="115"/>
      <c r="D1445" s="115"/>
      <c r="E1445" s="115"/>
      <c r="F1445" s="115"/>
      <c r="G1445" s="115"/>
      <c r="H1445" s="115"/>
    </row>
    <row r="1446" spans="3:8">
      <c r="C1446" s="115"/>
      <c r="D1446" s="115"/>
      <c r="E1446" s="115"/>
      <c r="F1446" s="115"/>
      <c r="G1446" s="115"/>
      <c r="H1446" s="115"/>
    </row>
    <row r="1447" spans="3:8">
      <c r="C1447" s="115"/>
      <c r="D1447" s="115"/>
      <c r="E1447" s="115"/>
      <c r="F1447" s="115"/>
      <c r="G1447" s="115"/>
      <c r="H1447" s="115"/>
    </row>
    <row r="1448" spans="3:8">
      <c r="C1448" s="115"/>
      <c r="D1448" s="115"/>
      <c r="E1448" s="115"/>
      <c r="F1448" s="115"/>
      <c r="G1448" s="115"/>
      <c r="H1448" s="115"/>
    </row>
    <row r="1449" spans="3:8">
      <c r="C1449" s="115"/>
      <c r="D1449" s="115"/>
      <c r="E1449" s="115"/>
      <c r="F1449" s="115"/>
      <c r="G1449" s="115"/>
      <c r="H1449" s="115"/>
    </row>
    <row r="1450" spans="3:8">
      <c r="C1450" s="115"/>
      <c r="D1450" s="115"/>
      <c r="E1450" s="115"/>
      <c r="F1450" s="115"/>
      <c r="G1450" s="115"/>
      <c r="H1450" s="115"/>
    </row>
    <row r="1451" spans="3:8">
      <c r="C1451" s="115"/>
      <c r="D1451" s="115"/>
      <c r="E1451" s="115"/>
      <c r="F1451" s="115"/>
      <c r="G1451" s="115"/>
      <c r="H1451" s="115"/>
    </row>
    <row r="1452" spans="3:8">
      <c r="C1452" s="115"/>
      <c r="D1452" s="115"/>
      <c r="E1452" s="115"/>
      <c r="F1452" s="115"/>
      <c r="G1452" s="115"/>
      <c r="H1452" s="115"/>
    </row>
    <row r="1453" spans="3:8">
      <c r="C1453" s="115"/>
      <c r="D1453" s="115"/>
      <c r="E1453" s="115"/>
      <c r="F1453" s="115"/>
      <c r="G1453" s="115"/>
      <c r="H1453" s="115"/>
    </row>
    <row r="1454" spans="3:8">
      <c r="C1454" s="115"/>
      <c r="D1454" s="115"/>
      <c r="E1454" s="115"/>
      <c r="F1454" s="115"/>
      <c r="G1454" s="115"/>
      <c r="H1454" s="115"/>
    </row>
    <row r="1455" spans="3:8">
      <c r="C1455" s="115"/>
      <c r="D1455" s="115"/>
      <c r="E1455" s="115"/>
      <c r="F1455" s="115"/>
      <c r="G1455" s="115"/>
      <c r="H1455" s="115"/>
    </row>
    <row r="1456" spans="3:8">
      <c r="C1456" s="115"/>
      <c r="D1456" s="115"/>
      <c r="E1456" s="115"/>
      <c r="F1456" s="115"/>
      <c r="G1456" s="115"/>
      <c r="H1456" s="115"/>
    </row>
    <row r="1457" spans="3:8">
      <c r="C1457" s="115"/>
      <c r="D1457" s="115"/>
      <c r="E1457" s="115"/>
      <c r="F1457" s="115"/>
      <c r="G1457" s="115"/>
      <c r="H1457" s="115"/>
    </row>
    <row r="1458" spans="3:8">
      <c r="C1458" s="115"/>
      <c r="D1458" s="115"/>
      <c r="E1458" s="115"/>
      <c r="F1458" s="115"/>
      <c r="G1458" s="115"/>
      <c r="H1458" s="115"/>
    </row>
    <row r="1459" spans="3:8">
      <c r="C1459" s="115"/>
      <c r="D1459" s="115"/>
      <c r="E1459" s="115"/>
      <c r="F1459" s="115"/>
      <c r="G1459" s="115"/>
      <c r="H1459" s="115"/>
    </row>
    <row r="1460" spans="3:8">
      <c r="C1460" s="115"/>
      <c r="D1460" s="115"/>
      <c r="E1460" s="115"/>
      <c r="F1460" s="115"/>
      <c r="G1460" s="115"/>
      <c r="H1460" s="115"/>
    </row>
    <row r="1461" spans="3:8">
      <c r="C1461" s="115"/>
      <c r="D1461" s="115"/>
      <c r="E1461" s="115"/>
      <c r="F1461" s="115"/>
      <c r="G1461" s="115"/>
      <c r="H1461" s="115"/>
    </row>
    <row r="1462" spans="3:8">
      <c r="C1462" s="115"/>
      <c r="D1462" s="115"/>
      <c r="E1462" s="115"/>
      <c r="F1462" s="115"/>
      <c r="G1462" s="115"/>
      <c r="H1462" s="115"/>
    </row>
    <row r="1463" spans="3:8">
      <c r="C1463" s="115"/>
      <c r="D1463" s="115"/>
      <c r="E1463" s="115"/>
      <c r="F1463" s="115"/>
      <c r="G1463" s="115"/>
      <c r="H1463" s="115"/>
    </row>
    <row r="1464" spans="3:8">
      <c r="C1464" s="115"/>
      <c r="D1464" s="115"/>
      <c r="E1464" s="115"/>
      <c r="F1464" s="115"/>
      <c r="G1464" s="115"/>
      <c r="H1464" s="115"/>
    </row>
    <row r="1465" spans="3:8">
      <c r="C1465" s="115"/>
      <c r="D1465" s="115"/>
      <c r="E1465" s="115"/>
      <c r="F1465" s="115"/>
      <c r="G1465" s="115"/>
      <c r="H1465" s="115"/>
    </row>
    <row r="1466" spans="3:8">
      <c r="C1466" s="115"/>
      <c r="D1466" s="115"/>
      <c r="E1466" s="115"/>
      <c r="F1466" s="115"/>
      <c r="G1466" s="115"/>
      <c r="H1466" s="115"/>
    </row>
    <row r="1467" spans="3:8">
      <c r="C1467" s="115"/>
      <c r="D1467" s="115"/>
      <c r="E1467" s="115"/>
      <c r="F1467" s="115"/>
      <c r="G1467" s="115"/>
      <c r="H1467" s="115"/>
    </row>
    <row r="1468" spans="3:8">
      <c r="C1468" s="115"/>
      <c r="D1468" s="115"/>
      <c r="E1468" s="115"/>
      <c r="F1468" s="115"/>
      <c r="G1468" s="115"/>
      <c r="H1468" s="115"/>
    </row>
    <row r="1469" spans="3:8">
      <c r="C1469" s="115"/>
      <c r="D1469" s="115"/>
      <c r="E1469" s="115"/>
      <c r="F1469" s="115"/>
      <c r="G1469" s="115"/>
      <c r="H1469" s="115"/>
    </row>
    <row r="1470" spans="3:8">
      <c r="C1470" s="115"/>
      <c r="D1470" s="115"/>
      <c r="E1470" s="115"/>
      <c r="F1470" s="115"/>
      <c r="G1470" s="115"/>
      <c r="H1470" s="115"/>
    </row>
    <row r="1471" spans="3:8">
      <c r="C1471" s="115"/>
      <c r="D1471" s="115"/>
      <c r="E1471" s="115"/>
      <c r="F1471" s="115"/>
      <c r="G1471" s="115"/>
      <c r="H1471" s="115"/>
    </row>
    <row r="1472" spans="3:8">
      <c r="C1472" s="115"/>
      <c r="D1472" s="115"/>
      <c r="E1472" s="115"/>
      <c r="F1472" s="115"/>
      <c r="G1472" s="115"/>
      <c r="H1472" s="115"/>
    </row>
    <row r="1473" spans="3:8">
      <c r="C1473" s="115"/>
      <c r="D1473" s="115"/>
      <c r="E1473" s="115"/>
      <c r="F1473" s="115"/>
      <c r="G1473" s="115"/>
      <c r="H1473" s="115"/>
    </row>
    <row r="1474" spans="3:8">
      <c r="C1474" s="115"/>
      <c r="D1474" s="115"/>
      <c r="E1474" s="115"/>
      <c r="F1474" s="115"/>
      <c r="G1474" s="115"/>
      <c r="H1474" s="115"/>
    </row>
    <row r="1475" spans="3:8">
      <c r="C1475" s="115"/>
      <c r="D1475" s="115"/>
      <c r="E1475" s="115"/>
      <c r="F1475" s="115"/>
      <c r="G1475" s="115"/>
      <c r="H1475" s="115"/>
    </row>
    <row r="1476" spans="3:8">
      <c r="C1476" s="115"/>
      <c r="D1476" s="115"/>
      <c r="E1476" s="115"/>
      <c r="F1476" s="115"/>
      <c r="G1476" s="115"/>
      <c r="H1476" s="115"/>
    </row>
    <row r="1477" spans="3:8">
      <c r="C1477" s="115"/>
      <c r="D1477" s="115"/>
      <c r="E1477" s="115"/>
      <c r="F1477" s="115"/>
      <c r="G1477" s="115"/>
      <c r="H1477" s="115"/>
    </row>
    <row r="1478" spans="3:8">
      <c r="C1478" s="115"/>
      <c r="D1478" s="115"/>
      <c r="E1478" s="115"/>
      <c r="F1478" s="115"/>
      <c r="G1478" s="115"/>
      <c r="H1478" s="115"/>
    </row>
    <row r="1479" spans="3:8">
      <c r="C1479" s="115"/>
      <c r="D1479" s="115"/>
      <c r="E1479" s="115"/>
      <c r="F1479" s="115"/>
      <c r="G1479" s="115"/>
      <c r="H1479" s="115"/>
    </row>
    <row r="1480" spans="3:8">
      <c r="C1480" s="115"/>
      <c r="D1480" s="115"/>
      <c r="E1480" s="115"/>
      <c r="F1480" s="115"/>
      <c r="G1480" s="115"/>
      <c r="H1480" s="115"/>
    </row>
    <row r="1481" spans="3:8">
      <c r="C1481" s="115"/>
      <c r="D1481" s="115"/>
      <c r="E1481" s="115"/>
      <c r="F1481" s="115"/>
      <c r="G1481" s="115"/>
      <c r="H1481" s="115"/>
    </row>
    <row r="1482" spans="3:8">
      <c r="C1482" s="115"/>
      <c r="D1482" s="115"/>
      <c r="E1482" s="115"/>
      <c r="F1482" s="115"/>
      <c r="G1482" s="115"/>
      <c r="H1482" s="115"/>
    </row>
    <row r="1483" spans="3:8">
      <c r="C1483" s="115"/>
      <c r="D1483" s="115"/>
      <c r="E1483" s="115"/>
      <c r="F1483" s="115"/>
      <c r="G1483" s="115"/>
      <c r="H1483" s="115"/>
    </row>
    <row r="1484" spans="3:8">
      <c r="C1484" s="115"/>
      <c r="D1484" s="115"/>
      <c r="E1484" s="115"/>
      <c r="F1484" s="115"/>
      <c r="G1484" s="115"/>
      <c r="H1484" s="115"/>
    </row>
    <row r="1485" spans="3:8">
      <c r="C1485" s="115"/>
      <c r="D1485" s="115"/>
      <c r="E1485" s="115"/>
      <c r="F1485" s="115"/>
      <c r="G1485" s="115"/>
      <c r="H1485" s="115"/>
    </row>
    <row r="1486" spans="3:8">
      <c r="C1486" s="115"/>
      <c r="D1486" s="115"/>
      <c r="E1486" s="115"/>
      <c r="F1486" s="115"/>
      <c r="G1486" s="115"/>
      <c r="H1486" s="115"/>
    </row>
    <row r="1487" spans="3:8">
      <c r="C1487" s="115"/>
      <c r="D1487" s="115"/>
      <c r="E1487" s="115"/>
      <c r="F1487" s="115"/>
      <c r="G1487" s="115"/>
      <c r="H1487" s="115"/>
    </row>
    <row r="1488" spans="3:8">
      <c r="C1488" s="115"/>
      <c r="D1488" s="115"/>
      <c r="E1488" s="115"/>
      <c r="F1488" s="115"/>
      <c r="G1488" s="115"/>
      <c r="H1488" s="115"/>
    </row>
    <row r="1489" spans="3:8">
      <c r="C1489" s="115"/>
      <c r="D1489" s="115"/>
      <c r="E1489" s="115"/>
      <c r="F1489" s="115"/>
      <c r="G1489" s="115"/>
      <c r="H1489" s="115"/>
    </row>
    <row r="1490" spans="3:8">
      <c r="C1490" s="115"/>
      <c r="D1490" s="115"/>
      <c r="E1490" s="115"/>
      <c r="F1490" s="115"/>
      <c r="G1490" s="115"/>
      <c r="H1490" s="115"/>
    </row>
    <row r="1491" spans="3:8">
      <c r="C1491" s="115"/>
      <c r="D1491" s="115"/>
      <c r="E1491" s="115"/>
      <c r="F1491" s="115"/>
      <c r="G1491" s="115"/>
      <c r="H1491" s="115"/>
    </row>
    <row r="1492" spans="3:8">
      <c r="C1492" s="115"/>
      <c r="D1492" s="115"/>
      <c r="E1492" s="115"/>
      <c r="F1492" s="115"/>
      <c r="G1492" s="115"/>
      <c r="H1492" s="115"/>
    </row>
    <row r="1493" spans="3:8">
      <c r="C1493" s="115"/>
      <c r="D1493" s="115"/>
      <c r="E1493" s="115"/>
      <c r="F1493" s="115"/>
      <c r="G1493" s="115"/>
      <c r="H1493" s="115"/>
    </row>
    <row r="1494" spans="3:8">
      <c r="C1494" s="115"/>
      <c r="D1494" s="115"/>
      <c r="E1494" s="115"/>
      <c r="F1494" s="115"/>
      <c r="G1494" s="115"/>
      <c r="H1494" s="115"/>
    </row>
    <row r="1495" spans="3:8">
      <c r="C1495" s="115"/>
      <c r="D1495" s="115"/>
      <c r="E1495" s="115"/>
      <c r="F1495" s="115"/>
      <c r="G1495" s="115"/>
      <c r="H1495" s="115"/>
    </row>
    <row r="1496" spans="3:8">
      <c r="C1496" s="115"/>
      <c r="D1496" s="115"/>
      <c r="E1496" s="115"/>
      <c r="F1496" s="115"/>
      <c r="G1496" s="115"/>
      <c r="H1496" s="115"/>
    </row>
    <row r="1497" spans="3:8">
      <c r="C1497" s="115"/>
      <c r="D1497" s="115"/>
      <c r="E1497" s="115"/>
      <c r="F1497" s="115"/>
      <c r="G1497" s="115"/>
      <c r="H1497" s="115"/>
    </row>
    <row r="1498" spans="3:8">
      <c r="C1498" s="115"/>
      <c r="D1498" s="115"/>
      <c r="E1498" s="115"/>
      <c r="F1498" s="115"/>
      <c r="G1498" s="115"/>
      <c r="H1498" s="115"/>
    </row>
    <row r="1499" spans="3:8">
      <c r="C1499" s="115"/>
      <c r="D1499" s="115"/>
      <c r="E1499" s="115"/>
      <c r="F1499" s="115"/>
      <c r="G1499" s="115"/>
      <c r="H1499" s="115"/>
    </row>
    <row r="1500" spans="3:8">
      <c r="C1500" s="115"/>
      <c r="D1500" s="115"/>
      <c r="E1500" s="115"/>
      <c r="F1500" s="115"/>
      <c r="G1500" s="115"/>
      <c r="H1500" s="115"/>
    </row>
    <row r="1501" spans="3:8">
      <c r="C1501" s="115"/>
      <c r="D1501" s="115"/>
      <c r="E1501" s="115"/>
      <c r="F1501" s="115"/>
      <c r="G1501" s="115"/>
      <c r="H1501" s="115"/>
    </row>
    <row r="1502" spans="3:8">
      <c r="C1502" s="115"/>
      <c r="D1502" s="115"/>
      <c r="E1502" s="115"/>
      <c r="F1502" s="115"/>
      <c r="G1502" s="115"/>
      <c r="H1502" s="115"/>
    </row>
    <row r="1503" spans="3:8">
      <c r="C1503" s="115"/>
      <c r="D1503" s="115"/>
      <c r="E1503" s="115"/>
      <c r="F1503" s="115"/>
      <c r="G1503" s="115"/>
      <c r="H1503" s="115"/>
    </row>
    <row r="1504" spans="3:8">
      <c r="C1504" s="115"/>
      <c r="D1504" s="115"/>
      <c r="E1504" s="115"/>
      <c r="F1504" s="115"/>
      <c r="G1504" s="115"/>
      <c r="H1504" s="115"/>
    </row>
    <row r="1505" spans="3:8">
      <c r="C1505" s="115"/>
      <c r="D1505" s="115"/>
      <c r="E1505" s="115"/>
      <c r="F1505" s="115"/>
      <c r="G1505" s="115"/>
      <c r="H1505" s="115"/>
    </row>
    <row r="1506" spans="3:8">
      <c r="C1506" s="115"/>
      <c r="D1506" s="115"/>
      <c r="E1506" s="115"/>
      <c r="F1506" s="115"/>
      <c r="G1506" s="115"/>
      <c r="H1506" s="115"/>
    </row>
    <row r="1507" spans="3:8">
      <c r="C1507" s="115"/>
      <c r="D1507" s="115"/>
      <c r="E1507" s="115"/>
      <c r="F1507" s="115"/>
      <c r="G1507" s="115"/>
      <c r="H1507" s="115"/>
    </row>
    <row r="1508" spans="3:8">
      <c r="C1508" s="115"/>
      <c r="D1508" s="115"/>
      <c r="E1508" s="115"/>
      <c r="F1508" s="115"/>
      <c r="G1508" s="115"/>
      <c r="H1508" s="115"/>
    </row>
    <row r="1509" spans="3:8">
      <c r="C1509" s="115"/>
      <c r="D1509" s="115"/>
      <c r="E1509" s="115"/>
      <c r="F1509" s="115"/>
      <c r="G1509" s="115"/>
      <c r="H1509" s="115"/>
    </row>
    <row r="1510" spans="3:8">
      <c r="C1510" s="115"/>
      <c r="D1510" s="115"/>
      <c r="E1510" s="115"/>
      <c r="F1510" s="115"/>
      <c r="G1510" s="115"/>
      <c r="H1510" s="115"/>
    </row>
    <row r="1511" spans="3:8">
      <c r="C1511" s="115"/>
      <c r="D1511" s="115"/>
      <c r="E1511" s="115"/>
      <c r="F1511" s="115"/>
      <c r="G1511" s="115"/>
      <c r="H1511" s="115"/>
    </row>
    <row r="1512" spans="3:8">
      <c r="C1512" s="115"/>
      <c r="D1512" s="115"/>
      <c r="E1512" s="115"/>
      <c r="F1512" s="115"/>
      <c r="G1512" s="115"/>
      <c r="H1512" s="115"/>
    </row>
    <row r="1513" spans="3:8">
      <c r="C1513" s="115"/>
      <c r="D1513" s="115"/>
      <c r="E1513" s="115"/>
      <c r="F1513" s="115"/>
      <c r="G1513" s="115"/>
      <c r="H1513" s="115"/>
    </row>
    <row r="1514" spans="3:8">
      <c r="C1514" s="115"/>
      <c r="D1514" s="115"/>
      <c r="E1514" s="115"/>
      <c r="F1514" s="115"/>
      <c r="G1514" s="115"/>
      <c r="H1514" s="115"/>
    </row>
    <row r="1515" spans="3:8">
      <c r="C1515" s="115"/>
      <c r="D1515" s="115"/>
      <c r="E1515" s="115"/>
      <c r="F1515" s="115"/>
      <c r="G1515" s="115"/>
      <c r="H1515" s="115"/>
    </row>
    <row r="1516" spans="3:8">
      <c r="C1516" s="115"/>
      <c r="D1516" s="115"/>
      <c r="E1516" s="115"/>
      <c r="F1516" s="115"/>
      <c r="G1516" s="115"/>
      <c r="H1516" s="115"/>
    </row>
    <row r="1517" spans="3:8">
      <c r="C1517" s="115"/>
      <c r="D1517" s="115"/>
      <c r="E1517" s="115"/>
      <c r="F1517" s="115"/>
      <c r="G1517" s="115"/>
      <c r="H1517" s="115"/>
    </row>
    <row r="1518" spans="3:8">
      <c r="C1518" s="115"/>
      <c r="D1518" s="115"/>
      <c r="E1518" s="115"/>
      <c r="F1518" s="115"/>
      <c r="G1518" s="115"/>
      <c r="H1518" s="115"/>
    </row>
    <row r="1519" spans="3:8">
      <c r="C1519" s="115"/>
      <c r="D1519" s="115"/>
      <c r="E1519" s="115"/>
      <c r="F1519" s="115"/>
      <c r="G1519" s="115"/>
      <c r="H1519" s="115"/>
    </row>
    <row r="1520" spans="3:8">
      <c r="C1520" s="115"/>
      <c r="D1520" s="115"/>
      <c r="E1520" s="115"/>
      <c r="F1520" s="115"/>
      <c r="G1520" s="115"/>
      <c r="H1520" s="115"/>
    </row>
    <row r="1521" spans="3:8">
      <c r="C1521" s="115"/>
      <c r="D1521" s="115"/>
      <c r="E1521" s="115"/>
      <c r="F1521" s="115"/>
      <c r="G1521" s="115"/>
      <c r="H1521" s="115"/>
    </row>
    <row r="1522" spans="3:8">
      <c r="C1522" s="115"/>
      <c r="D1522" s="115"/>
      <c r="E1522" s="115"/>
      <c r="F1522" s="115"/>
      <c r="G1522" s="115"/>
      <c r="H1522" s="115"/>
    </row>
    <row r="1523" spans="3:8">
      <c r="C1523" s="115"/>
      <c r="D1523" s="115"/>
      <c r="E1523" s="115"/>
      <c r="F1523" s="115"/>
      <c r="G1523" s="115"/>
      <c r="H1523" s="115"/>
    </row>
    <row r="1524" spans="3:8">
      <c r="C1524" s="115"/>
      <c r="D1524" s="115"/>
      <c r="E1524" s="115"/>
      <c r="F1524" s="115"/>
      <c r="G1524" s="115"/>
      <c r="H1524" s="115"/>
    </row>
    <row r="1525" spans="3:8">
      <c r="C1525" s="115"/>
      <c r="D1525" s="115"/>
      <c r="E1525" s="115"/>
      <c r="F1525" s="115"/>
      <c r="G1525" s="115"/>
      <c r="H1525" s="115"/>
    </row>
    <row r="1526" spans="3:8">
      <c r="C1526" s="115"/>
      <c r="D1526" s="115"/>
      <c r="E1526" s="115"/>
      <c r="F1526" s="115"/>
      <c r="G1526" s="115"/>
      <c r="H1526" s="115"/>
    </row>
    <row r="1527" spans="3:8">
      <c r="C1527" s="115"/>
      <c r="D1527" s="115"/>
      <c r="E1527" s="115"/>
      <c r="F1527" s="115"/>
      <c r="G1527" s="115"/>
      <c r="H1527" s="115"/>
    </row>
    <row r="1528" spans="3:8">
      <c r="C1528" s="115"/>
      <c r="D1528" s="115"/>
      <c r="E1528" s="115"/>
      <c r="F1528" s="115"/>
      <c r="G1528" s="115"/>
      <c r="H1528" s="115"/>
    </row>
    <row r="1529" spans="3:8">
      <c r="C1529" s="115"/>
      <c r="D1529" s="115"/>
      <c r="E1529" s="115"/>
      <c r="F1529" s="115"/>
      <c r="G1529" s="115"/>
      <c r="H1529" s="115"/>
    </row>
    <row r="1530" spans="3:8">
      <c r="C1530" s="115"/>
      <c r="D1530" s="115"/>
      <c r="E1530" s="115"/>
      <c r="F1530" s="115"/>
      <c r="G1530" s="115"/>
      <c r="H1530" s="115"/>
    </row>
    <row r="1531" spans="3:8">
      <c r="C1531" s="115"/>
      <c r="D1531" s="115"/>
      <c r="E1531" s="115"/>
      <c r="F1531" s="115"/>
      <c r="G1531" s="115"/>
      <c r="H1531" s="115"/>
    </row>
    <row r="1532" spans="3:8">
      <c r="C1532" s="115"/>
      <c r="D1532" s="115"/>
      <c r="E1532" s="115"/>
      <c r="F1532" s="115"/>
      <c r="G1532" s="115"/>
      <c r="H1532" s="115"/>
    </row>
    <row r="1533" spans="3:8">
      <c r="C1533" s="115"/>
      <c r="D1533" s="115"/>
      <c r="E1533" s="115"/>
      <c r="F1533" s="115"/>
      <c r="G1533" s="115"/>
      <c r="H1533" s="115"/>
    </row>
    <row r="1534" spans="3:8">
      <c r="C1534" s="115"/>
      <c r="D1534" s="115"/>
      <c r="E1534" s="115"/>
      <c r="F1534" s="115"/>
      <c r="G1534" s="115"/>
      <c r="H1534" s="115"/>
    </row>
    <row r="1535" spans="3:8">
      <c r="C1535" s="115"/>
      <c r="D1535" s="115"/>
      <c r="E1535" s="115"/>
      <c r="F1535" s="115"/>
      <c r="G1535" s="115"/>
      <c r="H1535" s="115"/>
    </row>
    <row r="1536" spans="3:8">
      <c r="C1536" s="115"/>
      <c r="D1536" s="115"/>
      <c r="E1536" s="115"/>
      <c r="F1536" s="115"/>
      <c r="G1536" s="115"/>
      <c r="H1536" s="115"/>
    </row>
    <row r="1537" spans="3:8">
      <c r="C1537" s="115"/>
      <c r="D1537" s="115"/>
      <c r="E1537" s="115"/>
      <c r="F1537" s="115"/>
      <c r="G1537" s="115"/>
      <c r="H1537" s="115"/>
    </row>
    <row r="1538" spans="3:8">
      <c r="C1538" s="115"/>
      <c r="D1538" s="115"/>
      <c r="E1538" s="115"/>
      <c r="F1538" s="115"/>
      <c r="G1538" s="115"/>
      <c r="H1538" s="115"/>
    </row>
    <row r="1539" spans="3:8">
      <c r="C1539" s="115"/>
      <c r="D1539" s="115"/>
      <c r="E1539" s="115"/>
      <c r="F1539" s="115"/>
      <c r="G1539" s="115"/>
      <c r="H1539" s="115"/>
    </row>
    <row r="1540" spans="3:8">
      <c r="C1540" s="115"/>
      <c r="D1540" s="115"/>
      <c r="E1540" s="115"/>
      <c r="F1540" s="115"/>
      <c r="G1540" s="115"/>
      <c r="H1540" s="115"/>
    </row>
    <row r="1541" spans="3:8">
      <c r="C1541" s="115"/>
      <c r="D1541" s="115"/>
      <c r="E1541" s="115"/>
      <c r="F1541" s="115"/>
      <c r="G1541" s="115"/>
      <c r="H1541" s="115"/>
    </row>
    <row r="1542" spans="3:8">
      <c r="C1542" s="115"/>
      <c r="D1542" s="115"/>
      <c r="E1542" s="115"/>
      <c r="F1542" s="115"/>
      <c r="G1542" s="115"/>
      <c r="H1542" s="115"/>
    </row>
    <row r="1543" spans="3:8">
      <c r="C1543" s="115"/>
      <c r="D1543" s="115"/>
      <c r="E1543" s="115"/>
      <c r="F1543" s="115"/>
      <c r="G1543" s="115"/>
      <c r="H1543" s="115"/>
    </row>
    <row r="1544" spans="3:8">
      <c r="C1544" s="115"/>
      <c r="D1544" s="115"/>
      <c r="E1544" s="115"/>
      <c r="F1544" s="115"/>
      <c r="G1544" s="115"/>
      <c r="H1544" s="115"/>
    </row>
    <row r="1545" spans="3:8">
      <c r="C1545" s="115"/>
      <c r="D1545" s="115"/>
      <c r="E1545" s="115"/>
      <c r="F1545" s="115"/>
      <c r="G1545" s="115"/>
      <c r="H1545" s="115"/>
    </row>
    <row r="1546" spans="3:8">
      <c r="C1546" s="115"/>
      <c r="D1546" s="115"/>
      <c r="E1546" s="115"/>
      <c r="F1546" s="115"/>
      <c r="G1546" s="115"/>
      <c r="H1546" s="115"/>
    </row>
    <row r="1547" spans="3:8">
      <c r="C1547" s="115"/>
      <c r="D1547" s="115"/>
      <c r="E1547" s="115"/>
      <c r="F1547" s="115"/>
      <c r="G1547" s="115"/>
      <c r="H1547" s="115"/>
    </row>
    <row r="1548" spans="3:8">
      <c r="C1548" s="115"/>
      <c r="D1548" s="115"/>
      <c r="E1548" s="115"/>
      <c r="F1548" s="115"/>
      <c r="G1548" s="115"/>
      <c r="H1548" s="115"/>
    </row>
    <row r="1549" spans="3:8">
      <c r="C1549" s="115"/>
      <c r="D1549" s="115"/>
      <c r="E1549" s="115"/>
      <c r="F1549" s="115"/>
      <c r="G1549" s="115"/>
      <c r="H1549" s="115"/>
    </row>
    <row r="1550" spans="3:8">
      <c r="C1550" s="115"/>
      <c r="D1550" s="115"/>
      <c r="E1550" s="115"/>
      <c r="F1550" s="115"/>
      <c r="G1550" s="115"/>
      <c r="H1550" s="115"/>
    </row>
    <row r="1551" spans="3:8">
      <c r="C1551" s="115"/>
      <c r="D1551" s="115"/>
      <c r="E1551" s="115"/>
      <c r="F1551" s="115"/>
      <c r="G1551" s="115"/>
      <c r="H1551" s="115"/>
    </row>
    <row r="1552" spans="3:8">
      <c r="C1552" s="115"/>
      <c r="D1552" s="115"/>
      <c r="E1552" s="115"/>
      <c r="F1552" s="115"/>
      <c r="G1552" s="115"/>
      <c r="H1552" s="115"/>
    </row>
    <row r="1553" spans="3:8">
      <c r="C1553" s="115"/>
      <c r="D1553" s="115"/>
      <c r="E1553" s="115"/>
      <c r="F1553" s="115"/>
      <c r="G1553" s="115"/>
      <c r="H1553" s="115"/>
    </row>
    <row r="1554" spans="3:8">
      <c r="C1554" s="115"/>
      <c r="D1554" s="115"/>
      <c r="E1554" s="115"/>
      <c r="F1554" s="115"/>
      <c r="G1554" s="115"/>
      <c r="H1554" s="115"/>
    </row>
    <row r="1555" spans="3:8">
      <c r="C1555" s="115"/>
      <c r="D1555" s="115"/>
      <c r="E1555" s="115"/>
      <c r="F1555" s="115"/>
      <c r="G1555" s="115"/>
      <c r="H1555" s="115"/>
    </row>
    <row r="1556" spans="3:8">
      <c r="C1556" s="115"/>
      <c r="D1556" s="115"/>
      <c r="E1556" s="115"/>
      <c r="F1556" s="115"/>
      <c r="G1556" s="115"/>
      <c r="H1556" s="115"/>
    </row>
    <row r="1557" spans="3:8">
      <c r="C1557" s="115"/>
      <c r="D1557" s="115"/>
      <c r="E1557" s="115"/>
      <c r="F1557" s="115"/>
      <c r="G1557" s="115"/>
      <c r="H1557" s="115"/>
    </row>
    <row r="1558" spans="3:8">
      <c r="C1558" s="115"/>
      <c r="D1558" s="115"/>
      <c r="E1558" s="115"/>
      <c r="F1558" s="115"/>
      <c r="G1558" s="115"/>
      <c r="H1558" s="115"/>
    </row>
    <row r="1559" spans="3:8">
      <c r="C1559" s="115"/>
      <c r="D1559" s="115"/>
      <c r="E1559" s="115"/>
      <c r="F1559" s="115"/>
      <c r="G1559" s="115"/>
      <c r="H1559" s="115"/>
    </row>
    <row r="1560" spans="3:8">
      <c r="C1560" s="115"/>
      <c r="D1560" s="115"/>
      <c r="E1560" s="115"/>
      <c r="F1560" s="115"/>
      <c r="G1560" s="115"/>
      <c r="H1560" s="115"/>
    </row>
    <row r="1561" spans="3:8">
      <c r="C1561" s="115"/>
      <c r="D1561" s="115"/>
      <c r="E1561" s="115"/>
      <c r="F1561" s="115"/>
      <c r="G1561" s="115"/>
      <c r="H1561" s="115"/>
    </row>
    <row r="1562" spans="3:8">
      <c r="C1562" s="115"/>
      <c r="D1562" s="115"/>
      <c r="E1562" s="115"/>
      <c r="F1562" s="115"/>
      <c r="G1562" s="115"/>
      <c r="H1562" s="115"/>
    </row>
    <row r="1563" spans="3:8">
      <c r="C1563" s="115"/>
      <c r="D1563" s="115"/>
      <c r="E1563" s="115"/>
      <c r="F1563" s="115"/>
      <c r="G1563" s="115"/>
      <c r="H1563" s="115"/>
    </row>
    <row r="1564" spans="3:8">
      <c r="C1564" s="115"/>
      <c r="D1564" s="115"/>
      <c r="E1564" s="115"/>
      <c r="F1564" s="115"/>
      <c r="G1564" s="115"/>
      <c r="H1564" s="115"/>
    </row>
    <row r="1565" spans="3:8">
      <c r="C1565" s="115"/>
      <c r="D1565" s="115"/>
      <c r="E1565" s="115"/>
      <c r="F1565" s="115"/>
      <c r="G1565" s="115"/>
      <c r="H1565" s="115"/>
    </row>
    <row r="1566" spans="3:8">
      <c r="C1566" s="115"/>
      <c r="D1566" s="115"/>
      <c r="E1566" s="115"/>
      <c r="F1566" s="115"/>
      <c r="G1566" s="115"/>
      <c r="H1566" s="115"/>
    </row>
    <row r="1567" spans="3:8">
      <c r="C1567" s="115"/>
      <c r="D1567" s="115"/>
      <c r="E1567" s="115"/>
      <c r="F1567" s="115"/>
      <c r="G1567" s="115"/>
      <c r="H1567" s="115"/>
    </row>
    <row r="1568" spans="3:8">
      <c r="C1568" s="115"/>
      <c r="D1568" s="115"/>
      <c r="E1568" s="115"/>
      <c r="F1568" s="115"/>
      <c r="G1568" s="115"/>
      <c r="H1568" s="115"/>
    </row>
    <row r="1569" spans="3:8">
      <c r="C1569" s="115"/>
      <c r="D1569" s="115"/>
      <c r="E1569" s="115"/>
      <c r="F1569" s="115"/>
      <c r="G1569" s="115"/>
      <c r="H1569" s="115"/>
    </row>
    <row r="1570" spans="3:8">
      <c r="C1570" s="115"/>
      <c r="D1570" s="115"/>
      <c r="E1570" s="115"/>
      <c r="F1570" s="115"/>
      <c r="G1570" s="115"/>
      <c r="H1570" s="115"/>
    </row>
    <row r="1571" spans="3:8">
      <c r="C1571" s="115"/>
      <c r="D1571" s="115"/>
      <c r="E1571" s="115"/>
      <c r="F1571" s="115"/>
      <c r="G1571" s="115"/>
      <c r="H1571" s="115"/>
    </row>
    <row r="1572" spans="3:8">
      <c r="C1572" s="115"/>
      <c r="D1572" s="115"/>
      <c r="E1572" s="115"/>
      <c r="F1572" s="115"/>
      <c r="G1572" s="115"/>
      <c r="H1572" s="115"/>
    </row>
    <row r="1573" spans="3:8">
      <c r="C1573" s="115"/>
      <c r="D1573" s="115"/>
      <c r="E1573" s="115"/>
      <c r="F1573" s="115"/>
      <c r="G1573" s="115"/>
      <c r="H1573" s="115"/>
    </row>
    <row r="1574" spans="3:8">
      <c r="C1574" s="115"/>
      <c r="D1574" s="115"/>
      <c r="E1574" s="115"/>
      <c r="F1574" s="115"/>
      <c r="G1574" s="115"/>
      <c r="H1574" s="115"/>
    </row>
    <row r="1575" spans="3:8">
      <c r="C1575" s="115"/>
      <c r="D1575" s="115"/>
      <c r="E1575" s="115"/>
      <c r="F1575" s="115"/>
      <c r="G1575" s="115"/>
      <c r="H1575" s="115"/>
    </row>
    <row r="1576" spans="3:8">
      <c r="C1576" s="115"/>
      <c r="D1576" s="115"/>
      <c r="E1576" s="115"/>
      <c r="F1576" s="115"/>
      <c r="G1576" s="115"/>
      <c r="H1576" s="115"/>
    </row>
    <row r="1577" spans="3:8">
      <c r="C1577" s="115"/>
      <c r="D1577" s="115"/>
      <c r="E1577" s="115"/>
      <c r="F1577" s="115"/>
      <c r="G1577" s="115"/>
      <c r="H1577" s="115"/>
    </row>
    <row r="1578" spans="3:8">
      <c r="C1578" s="115"/>
      <c r="D1578" s="115"/>
      <c r="E1578" s="115"/>
      <c r="F1578" s="115"/>
      <c r="G1578" s="115"/>
      <c r="H1578" s="115"/>
    </row>
    <row r="1579" spans="3:8">
      <c r="C1579" s="115"/>
      <c r="D1579" s="115"/>
      <c r="E1579" s="115"/>
      <c r="F1579" s="115"/>
      <c r="G1579" s="115"/>
      <c r="H1579" s="115"/>
    </row>
    <row r="1580" spans="3:8">
      <c r="C1580" s="115"/>
      <c r="D1580" s="115"/>
      <c r="E1580" s="115"/>
      <c r="F1580" s="115"/>
      <c r="G1580" s="115"/>
      <c r="H1580" s="115"/>
    </row>
    <row r="1581" spans="3:8">
      <c r="C1581" s="115"/>
      <c r="D1581" s="115"/>
      <c r="E1581" s="115"/>
      <c r="F1581" s="115"/>
      <c r="G1581" s="115"/>
      <c r="H1581" s="115"/>
    </row>
    <row r="1582" spans="3:8">
      <c r="C1582" s="115"/>
      <c r="D1582" s="115"/>
      <c r="E1582" s="115"/>
      <c r="F1582" s="115"/>
      <c r="G1582" s="115"/>
      <c r="H1582" s="115"/>
    </row>
    <row r="1583" spans="3:8">
      <c r="C1583" s="115"/>
      <c r="D1583" s="115"/>
      <c r="E1583" s="115"/>
      <c r="F1583" s="115"/>
      <c r="G1583" s="115"/>
      <c r="H1583" s="115"/>
    </row>
    <row r="1584" spans="3:8">
      <c r="C1584" s="115"/>
      <c r="D1584" s="115"/>
      <c r="E1584" s="115"/>
      <c r="F1584" s="115"/>
      <c r="G1584" s="115"/>
      <c r="H1584" s="115"/>
    </row>
    <row r="1585" spans="3:8">
      <c r="C1585" s="115"/>
      <c r="D1585" s="115"/>
      <c r="E1585" s="115"/>
      <c r="F1585" s="115"/>
      <c r="G1585" s="115"/>
      <c r="H1585" s="115"/>
    </row>
    <row r="1586" spans="3:8">
      <c r="C1586" s="115"/>
      <c r="D1586" s="115"/>
      <c r="E1586" s="115"/>
      <c r="F1586" s="115"/>
      <c r="G1586" s="115"/>
      <c r="H1586" s="115"/>
    </row>
    <row r="1587" spans="3:8">
      <c r="C1587" s="115"/>
      <c r="D1587" s="115"/>
      <c r="E1587" s="115"/>
      <c r="F1587" s="115"/>
      <c r="G1587" s="115"/>
      <c r="H1587" s="115"/>
    </row>
    <row r="1588" spans="3:8">
      <c r="C1588" s="115"/>
      <c r="D1588" s="115"/>
      <c r="E1588" s="115"/>
      <c r="F1588" s="115"/>
      <c r="G1588" s="115"/>
      <c r="H1588" s="115"/>
    </row>
    <row r="1589" spans="3:8">
      <c r="C1589" s="115"/>
      <c r="D1589" s="115"/>
      <c r="E1589" s="115"/>
      <c r="F1589" s="115"/>
      <c r="G1589" s="115"/>
      <c r="H1589" s="115"/>
    </row>
    <row r="1590" spans="3:8">
      <c r="C1590" s="115"/>
      <c r="D1590" s="115"/>
      <c r="E1590" s="115"/>
      <c r="F1590" s="115"/>
      <c r="G1590" s="115"/>
      <c r="H1590" s="115"/>
    </row>
    <row r="1591" spans="3:8">
      <c r="C1591" s="115"/>
      <c r="D1591" s="115"/>
      <c r="E1591" s="115"/>
      <c r="F1591" s="115"/>
      <c r="G1591" s="115"/>
      <c r="H1591" s="115"/>
    </row>
    <row r="1592" spans="3:8">
      <c r="C1592" s="115"/>
      <c r="D1592" s="115"/>
      <c r="E1592" s="115"/>
      <c r="F1592" s="115"/>
      <c r="G1592" s="115"/>
      <c r="H1592" s="115"/>
    </row>
    <row r="1593" spans="3:8">
      <c r="C1593" s="115"/>
      <c r="D1593" s="115"/>
      <c r="E1593" s="115"/>
      <c r="F1593" s="115"/>
      <c r="G1593" s="115"/>
      <c r="H1593" s="115"/>
    </row>
    <row r="1594" spans="3:8">
      <c r="C1594" s="115"/>
      <c r="D1594" s="115"/>
      <c r="E1594" s="115"/>
      <c r="F1594" s="115"/>
      <c r="G1594" s="115"/>
      <c r="H1594" s="115"/>
    </row>
    <row r="1595" spans="3:8">
      <c r="C1595" s="115"/>
      <c r="D1595" s="115"/>
      <c r="E1595" s="115"/>
      <c r="F1595" s="115"/>
      <c r="G1595" s="115"/>
      <c r="H1595" s="115"/>
    </row>
    <row r="1596" spans="3:8">
      <c r="C1596" s="115"/>
      <c r="D1596" s="115"/>
      <c r="E1596" s="115"/>
      <c r="F1596" s="115"/>
      <c r="G1596" s="115"/>
      <c r="H1596" s="115"/>
    </row>
    <row r="1597" spans="3:8">
      <c r="C1597" s="115"/>
      <c r="D1597" s="115"/>
      <c r="E1597" s="115"/>
      <c r="F1597" s="115"/>
      <c r="G1597" s="115"/>
      <c r="H1597" s="115"/>
    </row>
    <row r="1598" spans="3:8">
      <c r="C1598" s="115"/>
      <c r="D1598" s="115"/>
      <c r="E1598" s="115"/>
      <c r="F1598" s="115"/>
      <c r="G1598" s="115"/>
      <c r="H1598" s="115"/>
    </row>
    <row r="1599" spans="3:8">
      <c r="C1599" s="115"/>
      <c r="D1599" s="115"/>
      <c r="E1599" s="115"/>
      <c r="F1599" s="115"/>
      <c r="G1599" s="115"/>
      <c r="H1599" s="115"/>
    </row>
    <row r="1600" spans="3:8">
      <c r="C1600" s="115"/>
      <c r="D1600" s="115"/>
      <c r="E1600" s="115"/>
      <c r="F1600" s="115"/>
      <c r="G1600" s="115"/>
      <c r="H1600" s="115"/>
    </row>
    <row r="1601" spans="3:8">
      <c r="C1601" s="115"/>
      <c r="D1601" s="115"/>
      <c r="E1601" s="115"/>
      <c r="F1601" s="115"/>
      <c r="G1601" s="115"/>
      <c r="H1601" s="115"/>
    </row>
    <row r="1602" spans="3:8">
      <c r="C1602" s="115"/>
      <c r="D1602" s="115"/>
      <c r="E1602" s="115"/>
      <c r="F1602" s="115"/>
      <c r="G1602" s="115"/>
      <c r="H1602" s="115"/>
    </row>
    <row r="1603" spans="3:8">
      <c r="C1603" s="115"/>
      <c r="D1603" s="115"/>
      <c r="E1603" s="115"/>
      <c r="F1603" s="115"/>
      <c r="G1603" s="115"/>
      <c r="H1603" s="115"/>
    </row>
    <row r="1604" spans="3:8">
      <c r="C1604" s="115"/>
      <c r="D1604" s="115"/>
      <c r="E1604" s="115"/>
      <c r="F1604" s="115"/>
      <c r="G1604" s="115"/>
      <c r="H1604" s="115"/>
    </row>
    <row r="1605" spans="3:8">
      <c r="C1605" s="115"/>
      <c r="D1605" s="115"/>
      <c r="E1605" s="115"/>
      <c r="F1605" s="115"/>
      <c r="G1605" s="115"/>
      <c r="H1605" s="115"/>
    </row>
    <row r="1606" spans="3:8">
      <c r="C1606" s="115"/>
      <c r="D1606" s="115"/>
      <c r="E1606" s="115"/>
      <c r="F1606" s="115"/>
      <c r="G1606" s="115"/>
      <c r="H1606" s="115"/>
    </row>
    <row r="1607" spans="3:8">
      <c r="C1607" s="115"/>
      <c r="D1607" s="115"/>
      <c r="E1607" s="115"/>
      <c r="F1607" s="115"/>
      <c r="G1607" s="115"/>
      <c r="H1607" s="115"/>
    </row>
    <row r="1608" spans="3:8">
      <c r="C1608" s="115"/>
      <c r="D1608" s="115"/>
      <c r="E1608" s="115"/>
      <c r="F1608" s="115"/>
      <c r="G1608" s="115"/>
      <c r="H1608" s="115"/>
    </row>
    <row r="1609" spans="3:8">
      <c r="C1609" s="115"/>
      <c r="D1609" s="115"/>
      <c r="E1609" s="115"/>
      <c r="F1609" s="115"/>
      <c r="G1609" s="115"/>
      <c r="H1609" s="115"/>
    </row>
    <row r="1610" spans="3:8">
      <c r="C1610" s="115"/>
      <c r="D1610" s="115"/>
      <c r="E1610" s="115"/>
      <c r="F1610" s="115"/>
      <c r="G1610" s="115"/>
      <c r="H1610" s="115"/>
    </row>
    <row r="1611" spans="3:8">
      <c r="C1611" s="115"/>
      <c r="D1611" s="115"/>
      <c r="E1611" s="115"/>
      <c r="F1611" s="115"/>
      <c r="G1611" s="115"/>
      <c r="H1611" s="115"/>
    </row>
    <row r="1612" spans="3:8">
      <c r="C1612" s="115"/>
      <c r="D1612" s="115"/>
      <c r="E1612" s="115"/>
      <c r="F1612" s="115"/>
      <c r="G1612" s="115"/>
      <c r="H1612" s="115"/>
    </row>
    <row r="1613" spans="3:8">
      <c r="C1613" s="115"/>
      <c r="D1613" s="115"/>
      <c r="E1613" s="115"/>
      <c r="F1613" s="115"/>
      <c r="G1613" s="115"/>
      <c r="H1613" s="115"/>
    </row>
    <row r="1614" spans="3:8">
      <c r="C1614" s="115"/>
      <c r="D1614" s="115"/>
      <c r="E1614" s="115"/>
      <c r="F1614" s="115"/>
      <c r="G1614" s="115"/>
      <c r="H1614" s="115"/>
    </row>
    <row r="1615" spans="3:8">
      <c r="C1615" s="115"/>
      <c r="D1615" s="115"/>
      <c r="E1615" s="115"/>
      <c r="F1615" s="115"/>
      <c r="G1615" s="115"/>
      <c r="H1615" s="115"/>
    </row>
    <row r="1616" spans="3:8">
      <c r="C1616" s="115"/>
      <c r="D1616" s="115"/>
      <c r="E1616" s="115"/>
      <c r="F1616" s="115"/>
      <c r="G1616" s="115"/>
      <c r="H1616" s="115"/>
    </row>
    <row r="1617" spans="3:8">
      <c r="C1617" s="115"/>
      <c r="D1617" s="115"/>
      <c r="E1617" s="115"/>
      <c r="F1617" s="115"/>
      <c r="G1617" s="115"/>
      <c r="H1617" s="115"/>
    </row>
    <row r="1618" spans="3:8">
      <c r="C1618" s="115"/>
      <c r="D1618" s="115"/>
      <c r="E1618" s="115"/>
      <c r="F1618" s="115"/>
      <c r="G1618" s="115"/>
      <c r="H1618" s="115"/>
    </row>
    <row r="1619" spans="3:8">
      <c r="C1619" s="115"/>
      <c r="D1619" s="115"/>
      <c r="E1619" s="115"/>
      <c r="F1619" s="115"/>
      <c r="G1619" s="115"/>
      <c r="H1619" s="115"/>
    </row>
    <row r="1620" spans="3:8">
      <c r="C1620" s="115"/>
      <c r="D1620" s="115"/>
      <c r="E1620" s="115"/>
      <c r="F1620" s="115"/>
      <c r="G1620" s="115"/>
      <c r="H1620" s="115"/>
    </row>
    <row r="1621" spans="3:8">
      <c r="C1621" s="115"/>
      <c r="D1621" s="115"/>
      <c r="E1621" s="115"/>
      <c r="F1621" s="115"/>
      <c r="G1621" s="115"/>
      <c r="H1621" s="115"/>
    </row>
    <row r="1622" spans="3:8">
      <c r="C1622" s="115"/>
      <c r="D1622" s="115"/>
      <c r="E1622" s="115"/>
      <c r="F1622" s="115"/>
      <c r="G1622" s="115"/>
      <c r="H1622" s="115"/>
    </row>
    <row r="1623" spans="3:8">
      <c r="C1623" s="115"/>
      <c r="D1623" s="115"/>
      <c r="E1623" s="115"/>
      <c r="F1623" s="115"/>
      <c r="G1623" s="115"/>
      <c r="H1623" s="115"/>
    </row>
    <row r="1624" spans="3:8">
      <c r="C1624" s="115"/>
      <c r="D1624" s="115"/>
      <c r="E1624" s="115"/>
      <c r="F1624" s="115"/>
      <c r="G1624" s="115"/>
      <c r="H1624" s="115"/>
    </row>
    <row r="1625" spans="3:8">
      <c r="C1625" s="115"/>
      <c r="D1625" s="115"/>
      <c r="E1625" s="115"/>
      <c r="F1625" s="115"/>
      <c r="G1625" s="115"/>
      <c r="H1625" s="115"/>
    </row>
    <row r="1626" spans="3:8">
      <c r="C1626" s="115"/>
      <c r="D1626" s="115"/>
      <c r="E1626" s="115"/>
      <c r="F1626" s="115"/>
      <c r="G1626" s="115"/>
      <c r="H1626" s="115"/>
    </row>
    <row r="1627" spans="3:8">
      <c r="C1627" s="115"/>
      <c r="D1627" s="115"/>
      <c r="E1627" s="115"/>
      <c r="F1627" s="115"/>
      <c r="G1627" s="115"/>
      <c r="H1627" s="115"/>
    </row>
    <row r="1628" spans="3:8">
      <c r="C1628" s="115"/>
      <c r="D1628" s="115"/>
      <c r="E1628" s="115"/>
      <c r="F1628" s="115"/>
      <c r="G1628" s="115"/>
      <c r="H1628" s="115"/>
    </row>
    <row r="1629" spans="3:8">
      <c r="C1629" s="115"/>
      <c r="D1629" s="115"/>
      <c r="E1629" s="115"/>
      <c r="F1629" s="115"/>
      <c r="G1629" s="115"/>
      <c r="H1629" s="115"/>
    </row>
    <row r="1630" spans="3:8">
      <c r="C1630" s="115"/>
      <c r="D1630" s="115"/>
      <c r="E1630" s="115"/>
      <c r="F1630" s="115"/>
      <c r="G1630" s="115"/>
      <c r="H1630" s="115"/>
    </row>
    <row r="1631" spans="3:8">
      <c r="C1631" s="115"/>
      <c r="D1631" s="115"/>
      <c r="E1631" s="115"/>
      <c r="F1631" s="115"/>
      <c r="G1631" s="115"/>
      <c r="H1631" s="115"/>
    </row>
    <row r="1632" spans="3:8">
      <c r="C1632" s="115"/>
      <c r="D1632" s="115"/>
      <c r="E1632" s="115"/>
      <c r="F1632" s="115"/>
      <c r="G1632" s="115"/>
      <c r="H1632" s="115"/>
    </row>
    <row r="1633" spans="3:8">
      <c r="C1633" s="115"/>
      <c r="D1633" s="115"/>
      <c r="E1633" s="115"/>
      <c r="F1633" s="115"/>
      <c r="G1633" s="115"/>
      <c r="H1633" s="115"/>
    </row>
    <row r="1634" spans="3:8">
      <c r="C1634" s="115"/>
      <c r="D1634" s="115"/>
      <c r="E1634" s="115"/>
      <c r="F1634" s="115"/>
      <c r="G1634" s="115"/>
      <c r="H1634" s="115"/>
    </row>
    <row r="1635" spans="3:8">
      <c r="C1635" s="115"/>
      <c r="D1635" s="115"/>
      <c r="E1635" s="115"/>
      <c r="F1635" s="115"/>
      <c r="G1635" s="115"/>
      <c r="H1635" s="115"/>
    </row>
    <row r="1636" spans="3:8">
      <c r="C1636" s="115"/>
      <c r="D1636" s="115"/>
      <c r="E1636" s="115"/>
      <c r="F1636" s="115"/>
      <c r="G1636" s="115"/>
      <c r="H1636" s="115"/>
    </row>
    <row r="1637" spans="3:8">
      <c r="C1637" s="115"/>
      <c r="D1637" s="115"/>
      <c r="E1637" s="115"/>
      <c r="F1637" s="115"/>
      <c r="G1637" s="115"/>
      <c r="H1637" s="115"/>
    </row>
    <row r="1638" spans="3:8">
      <c r="C1638" s="115"/>
      <c r="D1638" s="115"/>
      <c r="E1638" s="115"/>
      <c r="F1638" s="115"/>
      <c r="G1638" s="115"/>
      <c r="H1638" s="115"/>
    </row>
    <row r="1639" spans="3:8">
      <c r="C1639" s="115"/>
      <c r="D1639" s="115"/>
      <c r="E1639" s="115"/>
      <c r="F1639" s="115"/>
      <c r="G1639" s="115"/>
      <c r="H1639" s="115"/>
    </row>
    <row r="1640" spans="3:8">
      <c r="C1640" s="115"/>
      <c r="D1640" s="115"/>
      <c r="E1640" s="115"/>
      <c r="F1640" s="115"/>
      <c r="G1640" s="115"/>
      <c r="H1640" s="115"/>
    </row>
    <row r="1641" spans="3:8">
      <c r="C1641" s="115"/>
      <c r="D1641" s="115"/>
      <c r="E1641" s="115"/>
      <c r="F1641" s="115"/>
      <c r="G1641" s="115"/>
      <c r="H1641" s="115"/>
    </row>
    <row r="1642" spans="3:8">
      <c r="C1642" s="115"/>
      <c r="D1642" s="115"/>
      <c r="E1642" s="115"/>
      <c r="F1642" s="115"/>
      <c r="G1642" s="115"/>
      <c r="H1642" s="115"/>
    </row>
    <row r="1643" spans="3:8">
      <c r="C1643" s="115"/>
      <c r="D1643" s="115"/>
      <c r="E1643" s="115"/>
      <c r="F1643" s="115"/>
      <c r="G1643" s="115"/>
      <c r="H1643" s="115"/>
    </row>
    <row r="1644" spans="3:8">
      <c r="C1644" s="115"/>
      <c r="D1644" s="115"/>
      <c r="E1644" s="115"/>
      <c r="F1644" s="115"/>
      <c r="G1644" s="115"/>
      <c r="H1644" s="115"/>
    </row>
    <row r="1645" spans="3:8">
      <c r="C1645" s="115"/>
      <c r="D1645" s="115"/>
      <c r="E1645" s="115"/>
      <c r="F1645" s="115"/>
      <c r="G1645" s="115"/>
      <c r="H1645" s="115"/>
    </row>
    <row r="1646" spans="3:8">
      <c r="C1646" s="115"/>
      <c r="D1646" s="115"/>
      <c r="E1646" s="115"/>
      <c r="F1646" s="115"/>
      <c r="G1646" s="115"/>
      <c r="H1646" s="115"/>
    </row>
    <row r="1647" spans="3:8">
      <c r="C1647" s="115"/>
      <c r="D1647" s="115"/>
      <c r="E1647" s="115"/>
      <c r="F1647" s="115"/>
      <c r="G1647" s="115"/>
      <c r="H1647" s="115"/>
    </row>
    <row r="1648" spans="3:8">
      <c r="C1648" s="115"/>
      <c r="D1648" s="115"/>
      <c r="E1648" s="115"/>
      <c r="F1648" s="115"/>
      <c r="G1648" s="115"/>
      <c r="H1648" s="115"/>
    </row>
    <row r="1649" spans="3:8">
      <c r="C1649" s="115"/>
      <c r="D1649" s="115"/>
      <c r="E1649" s="115"/>
      <c r="F1649" s="115"/>
      <c r="G1649" s="115"/>
      <c r="H1649" s="115"/>
    </row>
    <row r="1650" spans="3:8">
      <c r="C1650" s="115"/>
      <c r="D1650" s="115"/>
      <c r="E1650" s="115"/>
      <c r="F1650" s="115"/>
      <c r="G1650" s="115"/>
      <c r="H1650" s="115"/>
    </row>
    <row r="1651" spans="3:8">
      <c r="C1651" s="115"/>
      <c r="D1651" s="115"/>
      <c r="E1651" s="115"/>
      <c r="F1651" s="115"/>
      <c r="G1651" s="115"/>
      <c r="H1651" s="115"/>
    </row>
    <row r="1652" spans="3:8">
      <c r="C1652" s="115"/>
      <c r="D1652" s="115"/>
      <c r="E1652" s="115"/>
      <c r="F1652" s="115"/>
      <c r="G1652" s="115"/>
      <c r="H1652" s="115"/>
    </row>
    <row r="1653" spans="3:8">
      <c r="C1653" s="115"/>
      <c r="D1653" s="115"/>
      <c r="E1653" s="115"/>
      <c r="F1653" s="115"/>
      <c r="G1653" s="115"/>
      <c r="H1653" s="115"/>
    </row>
    <row r="1654" spans="3:8">
      <c r="C1654" s="115"/>
      <c r="D1654" s="115"/>
      <c r="E1654" s="115"/>
      <c r="F1654" s="115"/>
      <c r="G1654" s="115"/>
      <c r="H1654" s="115"/>
    </row>
    <row r="1655" spans="3:8">
      <c r="C1655" s="115"/>
      <c r="D1655" s="115"/>
      <c r="E1655" s="115"/>
      <c r="F1655" s="115"/>
      <c r="G1655" s="115"/>
      <c r="H1655" s="115"/>
    </row>
    <row r="1656" spans="3:8">
      <c r="C1656" s="115"/>
      <c r="D1656" s="115"/>
      <c r="E1656" s="115"/>
      <c r="F1656" s="115"/>
      <c r="G1656" s="115"/>
      <c r="H1656" s="115"/>
    </row>
    <row r="1657" spans="3:8">
      <c r="C1657" s="115"/>
      <c r="D1657" s="115"/>
      <c r="E1657" s="115"/>
      <c r="F1657" s="115"/>
      <c r="G1657" s="115"/>
      <c r="H1657" s="115"/>
    </row>
    <row r="1658" spans="3:8">
      <c r="C1658" s="115"/>
      <c r="D1658" s="115"/>
      <c r="E1658" s="115"/>
      <c r="F1658" s="115"/>
      <c r="G1658" s="115"/>
      <c r="H1658" s="115"/>
    </row>
    <row r="1659" spans="3:8">
      <c r="C1659" s="115"/>
      <c r="D1659" s="115"/>
      <c r="E1659" s="115"/>
      <c r="F1659" s="115"/>
      <c r="G1659" s="115"/>
      <c r="H1659" s="115"/>
    </row>
    <row r="1660" spans="3:8">
      <c r="C1660" s="115"/>
      <c r="D1660" s="115"/>
      <c r="E1660" s="115"/>
      <c r="F1660" s="115"/>
      <c r="G1660" s="115"/>
      <c r="H1660" s="115"/>
    </row>
    <row r="1661" spans="3:8">
      <c r="C1661" s="115"/>
      <c r="D1661" s="115"/>
      <c r="E1661" s="115"/>
      <c r="F1661" s="115"/>
      <c r="G1661" s="115"/>
      <c r="H1661" s="115"/>
    </row>
    <row r="1662" spans="3:8">
      <c r="C1662" s="115"/>
      <c r="D1662" s="115"/>
      <c r="E1662" s="115"/>
      <c r="F1662" s="115"/>
      <c r="G1662" s="115"/>
      <c r="H1662" s="115"/>
    </row>
    <row r="1663" spans="3:8">
      <c r="C1663" s="115"/>
      <c r="D1663" s="115"/>
      <c r="E1663" s="115"/>
      <c r="F1663" s="115"/>
      <c r="G1663" s="115"/>
      <c r="H1663" s="115"/>
    </row>
    <row r="1664" spans="3:8">
      <c r="C1664" s="115"/>
      <c r="D1664" s="115"/>
      <c r="E1664" s="115"/>
      <c r="F1664" s="115"/>
      <c r="G1664" s="115"/>
      <c r="H1664" s="115"/>
    </row>
    <row r="1665" spans="3:8">
      <c r="C1665" s="115"/>
      <c r="D1665" s="115"/>
      <c r="E1665" s="115"/>
      <c r="F1665" s="115"/>
      <c r="G1665" s="115"/>
      <c r="H1665" s="115"/>
    </row>
    <row r="1666" spans="3:8">
      <c r="C1666" s="115"/>
      <c r="D1666" s="115"/>
      <c r="E1666" s="115"/>
      <c r="F1666" s="115"/>
      <c r="G1666" s="115"/>
      <c r="H1666" s="115"/>
    </row>
    <row r="1667" spans="3:8">
      <c r="C1667" s="115"/>
      <c r="D1667" s="115"/>
      <c r="E1667" s="115"/>
      <c r="F1667" s="115"/>
      <c r="G1667" s="115"/>
      <c r="H1667" s="115"/>
    </row>
    <row r="1668" spans="3:8">
      <c r="C1668" s="115"/>
      <c r="D1668" s="115"/>
      <c r="E1668" s="115"/>
      <c r="F1668" s="115"/>
      <c r="G1668" s="115"/>
      <c r="H1668" s="115"/>
    </row>
    <row r="1669" spans="3:8">
      <c r="C1669" s="115"/>
      <c r="D1669" s="115"/>
      <c r="E1669" s="115"/>
      <c r="F1669" s="115"/>
      <c r="G1669" s="115"/>
      <c r="H1669" s="115"/>
    </row>
    <row r="1670" spans="3:8">
      <c r="C1670" s="115"/>
      <c r="D1670" s="115"/>
      <c r="E1670" s="115"/>
      <c r="F1670" s="115"/>
      <c r="G1670" s="115"/>
      <c r="H1670" s="115"/>
    </row>
    <row r="1671" spans="3:8">
      <c r="C1671" s="115"/>
      <c r="D1671" s="115"/>
      <c r="E1671" s="115"/>
      <c r="F1671" s="115"/>
      <c r="G1671" s="115"/>
      <c r="H1671" s="115"/>
    </row>
    <row r="1672" spans="3:8">
      <c r="C1672" s="115"/>
      <c r="D1672" s="115"/>
      <c r="E1672" s="115"/>
      <c r="F1672" s="115"/>
      <c r="G1672" s="115"/>
      <c r="H1672" s="115"/>
    </row>
    <row r="1673" spans="3:8">
      <c r="C1673" s="115"/>
      <c r="D1673" s="115"/>
      <c r="E1673" s="115"/>
      <c r="F1673" s="115"/>
      <c r="G1673" s="115"/>
      <c r="H1673" s="115"/>
    </row>
    <row r="1674" spans="3:8">
      <c r="C1674" s="115"/>
      <c r="D1674" s="115"/>
      <c r="E1674" s="115"/>
      <c r="F1674" s="115"/>
      <c r="G1674" s="115"/>
      <c r="H1674" s="115"/>
    </row>
    <row r="1675" spans="3:8">
      <c r="C1675" s="115"/>
      <c r="D1675" s="115"/>
      <c r="E1675" s="115"/>
      <c r="F1675" s="115"/>
      <c r="G1675" s="115"/>
      <c r="H1675" s="115"/>
    </row>
    <row r="1676" spans="3:8">
      <c r="C1676" s="115"/>
      <c r="D1676" s="115"/>
      <c r="E1676" s="115"/>
      <c r="F1676" s="115"/>
      <c r="G1676" s="115"/>
      <c r="H1676" s="115"/>
    </row>
    <row r="1677" spans="3:8">
      <c r="C1677" s="115"/>
      <c r="D1677" s="115"/>
      <c r="E1677" s="115"/>
      <c r="F1677" s="115"/>
      <c r="G1677" s="115"/>
      <c r="H1677" s="115"/>
    </row>
    <row r="1678" spans="3:8">
      <c r="C1678" s="115"/>
      <c r="D1678" s="115"/>
      <c r="E1678" s="115"/>
      <c r="F1678" s="115"/>
      <c r="G1678" s="115"/>
      <c r="H1678" s="115"/>
    </row>
    <row r="1679" spans="3:8">
      <c r="C1679" s="115"/>
      <c r="D1679" s="115"/>
      <c r="E1679" s="115"/>
      <c r="F1679" s="115"/>
      <c r="G1679" s="115"/>
      <c r="H1679" s="115"/>
    </row>
    <row r="1680" spans="3:8">
      <c r="C1680" s="115"/>
      <c r="D1680" s="115"/>
      <c r="E1680" s="115"/>
      <c r="F1680" s="115"/>
      <c r="G1680" s="115"/>
      <c r="H1680" s="115"/>
    </row>
    <row r="1681" spans="3:8">
      <c r="C1681" s="115"/>
      <c r="D1681" s="115"/>
      <c r="E1681" s="115"/>
      <c r="F1681" s="115"/>
      <c r="G1681" s="115"/>
      <c r="H1681" s="115"/>
    </row>
    <row r="1682" spans="3:8">
      <c r="C1682" s="115"/>
      <c r="D1682" s="115"/>
      <c r="E1682" s="115"/>
      <c r="F1682" s="115"/>
      <c r="G1682" s="115"/>
      <c r="H1682" s="115"/>
    </row>
    <row r="1683" spans="3:8">
      <c r="C1683" s="115"/>
      <c r="D1683" s="115"/>
      <c r="E1683" s="115"/>
      <c r="F1683" s="115"/>
      <c r="G1683" s="115"/>
      <c r="H1683" s="115"/>
    </row>
    <row r="1684" spans="3:8">
      <c r="C1684" s="115"/>
      <c r="D1684" s="115"/>
      <c r="E1684" s="115"/>
      <c r="F1684" s="115"/>
      <c r="G1684" s="115"/>
      <c r="H1684" s="115"/>
    </row>
    <row r="1685" spans="3:8">
      <c r="C1685" s="115"/>
      <c r="D1685" s="115"/>
      <c r="E1685" s="115"/>
      <c r="F1685" s="115"/>
      <c r="G1685" s="115"/>
      <c r="H1685" s="115"/>
    </row>
    <row r="1686" spans="3:8">
      <c r="C1686" s="115"/>
      <c r="D1686" s="115"/>
      <c r="E1686" s="115"/>
      <c r="F1686" s="115"/>
      <c r="G1686" s="115"/>
      <c r="H1686" s="115"/>
    </row>
    <row r="1687" spans="3:8">
      <c r="C1687" s="115"/>
      <c r="D1687" s="115"/>
      <c r="E1687" s="115"/>
      <c r="F1687" s="115"/>
      <c r="G1687" s="115"/>
      <c r="H1687" s="115"/>
    </row>
    <row r="1688" spans="3:8">
      <c r="C1688" s="115"/>
      <c r="D1688" s="115"/>
      <c r="E1688" s="115"/>
      <c r="F1688" s="115"/>
      <c r="G1688" s="115"/>
      <c r="H1688" s="115"/>
    </row>
    <row r="1689" spans="3:8">
      <c r="C1689" s="115"/>
      <c r="D1689" s="115"/>
      <c r="E1689" s="115"/>
      <c r="F1689" s="115"/>
      <c r="G1689" s="115"/>
      <c r="H1689" s="115"/>
    </row>
    <row r="1690" spans="3:8">
      <c r="C1690" s="115"/>
      <c r="D1690" s="115"/>
      <c r="E1690" s="115"/>
      <c r="F1690" s="115"/>
      <c r="G1690" s="115"/>
      <c r="H1690" s="115"/>
    </row>
    <row r="1691" spans="3:8">
      <c r="C1691" s="115"/>
      <c r="D1691" s="115"/>
      <c r="E1691" s="115"/>
      <c r="F1691" s="115"/>
      <c r="G1691" s="115"/>
      <c r="H1691" s="115"/>
    </row>
    <row r="1692" spans="3:8">
      <c r="C1692" s="115"/>
      <c r="D1692" s="115"/>
      <c r="E1692" s="115"/>
      <c r="F1692" s="115"/>
      <c r="G1692" s="115"/>
      <c r="H1692" s="115"/>
    </row>
    <row r="1693" spans="3:8">
      <c r="C1693" s="115"/>
      <c r="D1693" s="115"/>
      <c r="E1693" s="115"/>
      <c r="F1693" s="115"/>
      <c r="G1693" s="115"/>
      <c r="H1693" s="115"/>
    </row>
    <row r="1694" spans="3:8">
      <c r="C1694" s="115"/>
      <c r="D1694" s="115"/>
      <c r="E1694" s="115"/>
      <c r="F1694" s="115"/>
      <c r="G1694" s="115"/>
      <c r="H1694" s="115"/>
    </row>
    <row r="1695" spans="3:8">
      <c r="C1695" s="115"/>
      <c r="D1695" s="115"/>
      <c r="E1695" s="115"/>
      <c r="F1695" s="115"/>
      <c r="G1695" s="115"/>
      <c r="H1695" s="115"/>
    </row>
    <row r="1696" spans="3:8">
      <c r="C1696" s="115"/>
      <c r="D1696" s="115"/>
      <c r="E1696" s="115"/>
      <c r="F1696" s="115"/>
      <c r="G1696" s="115"/>
      <c r="H1696" s="115"/>
    </row>
    <row r="1697" spans="3:8">
      <c r="C1697" s="115"/>
      <c r="D1697" s="115"/>
      <c r="E1697" s="115"/>
      <c r="F1697" s="115"/>
      <c r="G1697" s="115"/>
      <c r="H1697" s="115"/>
    </row>
    <row r="1698" spans="3:8">
      <c r="C1698" s="115"/>
      <c r="D1698" s="115"/>
    </row>
    <row r="1699" spans="3:8">
      <c r="C1699" s="115"/>
      <c r="D1699" s="115"/>
    </row>
    <row r="1700" spans="3:8">
      <c r="C1700" s="115"/>
      <c r="D1700" s="115"/>
    </row>
    <row r="1701" spans="3:8">
      <c r="C1701" s="115"/>
      <c r="D1701" s="115"/>
    </row>
    <row r="1702" spans="3:8">
      <c r="C1702" s="115"/>
      <c r="D1702" s="115"/>
    </row>
    <row r="1703" spans="3:8">
      <c r="C1703" s="115"/>
      <c r="D1703" s="115"/>
    </row>
    <row r="1704" spans="3:8">
      <c r="C1704" s="115"/>
      <c r="D1704" s="115"/>
    </row>
    <row r="1705" spans="3:8">
      <c r="C1705" s="115"/>
      <c r="D1705" s="115"/>
    </row>
    <row r="1706" spans="3:8">
      <c r="C1706" s="115"/>
      <c r="D1706" s="115"/>
    </row>
    <row r="1707" spans="3:8">
      <c r="C1707" s="115"/>
      <c r="D1707" s="115"/>
    </row>
    <row r="1708" spans="3:8">
      <c r="C1708" s="115"/>
      <c r="D1708" s="115"/>
    </row>
    <row r="1709" spans="3:8">
      <c r="C1709" s="115"/>
      <c r="D1709" s="115"/>
    </row>
    <row r="1710" spans="3:8">
      <c r="C1710" s="115"/>
      <c r="D1710" s="115"/>
    </row>
    <row r="1711" spans="3:8">
      <c r="C1711" s="115"/>
      <c r="D1711" s="115"/>
    </row>
    <row r="1712" spans="3:8">
      <c r="C1712" s="115"/>
      <c r="D1712" s="115"/>
    </row>
    <row r="1713" spans="3:4">
      <c r="C1713" s="115"/>
      <c r="D1713" s="115"/>
    </row>
    <row r="1714" spans="3:4">
      <c r="C1714" s="115"/>
      <c r="D1714" s="115"/>
    </row>
    <row r="1715" spans="3:4">
      <c r="C1715" s="115"/>
      <c r="D1715" s="115"/>
    </row>
    <row r="1716" spans="3:4">
      <c r="C1716" s="115"/>
      <c r="D1716" s="115"/>
    </row>
    <row r="1717" spans="3:4">
      <c r="C1717" s="115"/>
      <c r="D1717" s="115"/>
    </row>
    <row r="1718" spans="3:4">
      <c r="C1718" s="115"/>
      <c r="D1718" s="115"/>
    </row>
    <row r="1719" spans="3:4">
      <c r="C1719" s="115"/>
      <c r="D1719" s="115"/>
    </row>
    <row r="1720" spans="3:4">
      <c r="C1720" s="115"/>
      <c r="D1720" s="115"/>
    </row>
    <row r="1721" spans="3:4">
      <c r="C1721" s="115"/>
      <c r="D1721" s="115"/>
    </row>
    <row r="1722" spans="3:4">
      <c r="C1722" s="115"/>
      <c r="D1722" s="115"/>
    </row>
    <row r="1723" spans="3:4">
      <c r="C1723" s="115"/>
      <c r="D1723" s="115"/>
    </row>
    <row r="1724" spans="3:4">
      <c r="C1724" s="115"/>
      <c r="D1724" s="115"/>
    </row>
    <row r="1725" spans="3:4">
      <c r="C1725" s="115"/>
      <c r="D1725" s="115"/>
    </row>
    <row r="1726" spans="3:4">
      <c r="C1726" s="115"/>
      <c r="D1726" s="115"/>
    </row>
    <row r="1727" spans="3:4">
      <c r="C1727" s="115"/>
      <c r="D1727" s="115"/>
    </row>
    <row r="1728" spans="3:4">
      <c r="C1728" s="115"/>
      <c r="D1728" s="115"/>
    </row>
    <row r="1729" spans="3:4">
      <c r="C1729" s="115"/>
      <c r="D1729" s="115"/>
    </row>
    <row r="1730" spans="3:4">
      <c r="C1730" s="115"/>
      <c r="D1730" s="115"/>
    </row>
    <row r="1731" spans="3:4">
      <c r="C1731" s="115"/>
      <c r="D1731" s="115"/>
    </row>
    <row r="1732" spans="3:4">
      <c r="C1732" s="115"/>
      <c r="D1732" s="115"/>
    </row>
    <row r="1733" spans="3:4">
      <c r="C1733" s="115"/>
      <c r="D1733" s="115"/>
    </row>
    <row r="1734" spans="3:4">
      <c r="C1734" s="115"/>
      <c r="D1734" s="115"/>
    </row>
    <row r="1735" spans="3:4">
      <c r="C1735" s="115"/>
      <c r="D1735" s="115"/>
    </row>
    <row r="1736" spans="3:4">
      <c r="C1736" s="115"/>
      <c r="D1736" s="115"/>
    </row>
    <row r="1737" spans="3:4">
      <c r="C1737" s="115"/>
      <c r="D1737" s="115"/>
    </row>
    <row r="1738" spans="3:4">
      <c r="C1738" s="115"/>
      <c r="D1738" s="115"/>
    </row>
    <row r="1739" spans="3:4">
      <c r="C1739" s="115"/>
      <c r="D1739" s="115"/>
    </row>
    <row r="1740" spans="3:4">
      <c r="C1740" s="115"/>
      <c r="D1740" s="115"/>
    </row>
    <row r="1741" spans="3:4">
      <c r="C1741" s="115"/>
      <c r="D1741" s="115"/>
    </row>
    <row r="1742" spans="3:4">
      <c r="C1742" s="115"/>
      <c r="D1742" s="115"/>
    </row>
    <row r="1743" spans="3:4">
      <c r="C1743" s="115"/>
      <c r="D1743" s="115"/>
    </row>
    <row r="1744" spans="3:4">
      <c r="C1744" s="115"/>
      <c r="D1744" s="115"/>
    </row>
    <row r="1745" spans="3:4">
      <c r="C1745" s="115"/>
      <c r="D1745" s="115"/>
    </row>
    <row r="1746" spans="3:4">
      <c r="C1746" s="115"/>
      <c r="D1746" s="115"/>
    </row>
    <row r="1747" spans="3:4">
      <c r="C1747" s="115"/>
      <c r="D1747" s="115"/>
    </row>
    <row r="1748" spans="3:4">
      <c r="C1748" s="115"/>
      <c r="D1748" s="115"/>
    </row>
    <row r="1749" spans="3:4">
      <c r="C1749" s="115"/>
      <c r="D1749" s="115"/>
    </row>
    <row r="1750" spans="3:4">
      <c r="C1750" s="115"/>
      <c r="D1750" s="115"/>
    </row>
    <row r="1751" spans="3:4">
      <c r="C1751" s="115"/>
      <c r="D1751" s="115"/>
    </row>
    <row r="1752" spans="3:4">
      <c r="C1752" s="115"/>
      <c r="D1752" s="115"/>
    </row>
    <row r="1753" spans="3:4">
      <c r="C1753" s="115"/>
      <c r="D1753" s="115"/>
    </row>
    <row r="1754" spans="3:4">
      <c r="C1754" s="115"/>
      <c r="D1754" s="115"/>
    </row>
    <row r="1755" spans="3:4">
      <c r="C1755" s="115"/>
      <c r="D1755" s="115"/>
    </row>
    <row r="1756" spans="3:4">
      <c r="C1756" s="115"/>
      <c r="D1756" s="115"/>
    </row>
    <row r="1757" spans="3:4">
      <c r="C1757" s="115"/>
      <c r="D1757" s="115"/>
    </row>
    <row r="1758" spans="3:4">
      <c r="C1758" s="115"/>
      <c r="D1758" s="115"/>
    </row>
    <row r="1759" spans="3:4">
      <c r="C1759" s="115"/>
      <c r="D1759" s="115"/>
    </row>
    <row r="1760" spans="3:4">
      <c r="C1760" s="115"/>
      <c r="D1760" s="115"/>
    </row>
    <row r="1761" spans="3:4">
      <c r="C1761" s="115"/>
      <c r="D1761" s="115"/>
    </row>
    <row r="1762" spans="3:4">
      <c r="C1762" s="115"/>
      <c r="D1762" s="115"/>
    </row>
    <row r="1763" spans="3:4">
      <c r="C1763" s="115"/>
      <c r="D1763" s="115"/>
    </row>
    <row r="1764" spans="3:4">
      <c r="C1764" s="115"/>
      <c r="D1764" s="115"/>
    </row>
    <row r="1765" spans="3:4">
      <c r="C1765" s="115"/>
      <c r="D1765" s="115"/>
    </row>
    <row r="1766" spans="3:4">
      <c r="C1766" s="115"/>
      <c r="D1766" s="115"/>
    </row>
    <row r="1767" spans="3:4">
      <c r="C1767" s="115"/>
      <c r="D1767" s="115"/>
    </row>
    <row r="1768" spans="3:4">
      <c r="C1768" s="115"/>
      <c r="D1768" s="115"/>
    </row>
    <row r="1769" spans="3:4">
      <c r="C1769" s="115"/>
      <c r="D1769" s="115"/>
    </row>
    <row r="1770" spans="3:4">
      <c r="C1770" s="115"/>
      <c r="D1770" s="115"/>
    </row>
    <row r="1771" spans="3:4">
      <c r="C1771" s="115"/>
      <c r="D1771" s="115"/>
    </row>
    <row r="1772" spans="3:4">
      <c r="C1772" s="115"/>
      <c r="D1772" s="115"/>
    </row>
    <row r="1773" spans="3:4">
      <c r="C1773" s="115"/>
      <c r="D1773" s="115"/>
    </row>
    <row r="1774" spans="3:4">
      <c r="C1774" s="115"/>
      <c r="D1774" s="115"/>
    </row>
    <row r="1775" spans="3:4">
      <c r="C1775" s="115"/>
      <c r="D1775" s="115"/>
    </row>
    <row r="1776" spans="3:4">
      <c r="C1776" s="115"/>
      <c r="D1776" s="115"/>
    </row>
    <row r="1777" spans="3:4">
      <c r="C1777" s="115"/>
      <c r="D1777" s="115"/>
    </row>
    <row r="1778" spans="3:4">
      <c r="C1778" s="115"/>
      <c r="D1778" s="115"/>
    </row>
    <row r="1779" spans="3:4">
      <c r="C1779" s="115"/>
      <c r="D1779" s="115"/>
    </row>
    <row r="1780" spans="3:4">
      <c r="C1780" s="115"/>
      <c r="D1780" s="115"/>
    </row>
    <row r="1781" spans="3:4">
      <c r="C1781" s="115"/>
      <c r="D1781" s="115"/>
    </row>
    <row r="1782" spans="3:4">
      <c r="C1782" s="115"/>
      <c r="D1782" s="115"/>
    </row>
    <row r="1783" spans="3:4">
      <c r="C1783" s="115"/>
      <c r="D1783" s="115"/>
    </row>
    <row r="1784" spans="3:4">
      <c r="C1784" s="115"/>
      <c r="D1784" s="115"/>
    </row>
    <row r="1785" spans="3:4">
      <c r="C1785" s="115"/>
      <c r="D1785" s="115"/>
    </row>
    <row r="1786" spans="3:4">
      <c r="C1786" s="115"/>
      <c r="D1786" s="115"/>
    </row>
    <row r="1787" spans="3:4">
      <c r="C1787" s="115"/>
      <c r="D1787" s="115"/>
    </row>
    <row r="1788" spans="3:4">
      <c r="C1788" s="115"/>
      <c r="D1788" s="115"/>
    </row>
    <row r="1789" spans="3:4">
      <c r="C1789" s="115"/>
      <c r="D1789" s="115"/>
    </row>
    <row r="1790" spans="3:4">
      <c r="C1790" s="115"/>
      <c r="D1790" s="115"/>
    </row>
    <row r="1791" spans="3:4">
      <c r="C1791" s="115"/>
      <c r="D1791" s="115"/>
    </row>
    <row r="1792" spans="3:4">
      <c r="C1792" s="115"/>
      <c r="D1792" s="115"/>
    </row>
    <row r="1793" spans="3:4">
      <c r="C1793" s="115"/>
      <c r="D1793" s="115"/>
    </row>
    <row r="1794" spans="3:4">
      <c r="C1794" s="115"/>
      <c r="D1794" s="115"/>
    </row>
    <row r="1795" spans="3:4">
      <c r="C1795" s="115"/>
      <c r="D1795" s="115"/>
    </row>
    <row r="1796" spans="3:4">
      <c r="C1796" s="115"/>
      <c r="D1796" s="115"/>
    </row>
    <row r="1797" spans="3:4">
      <c r="C1797" s="115"/>
      <c r="D1797" s="115"/>
    </row>
    <row r="1798" spans="3:4">
      <c r="C1798" s="115"/>
      <c r="D1798" s="115"/>
    </row>
    <row r="1799" spans="3:4">
      <c r="C1799" s="115"/>
      <c r="D1799" s="115"/>
    </row>
    <row r="1800" spans="3:4">
      <c r="C1800" s="115"/>
      <c r="D1800" s="115"/>
    </row>
    <row r="1801" spans="3:4">
      <c r="C1801" s="115"/>
      <c r="D1801" s="115"/>
    </row>
    <row r="1802" spans="3:4">
      <c r="C1802" s="115"/>
      <c r="D1802" s="115"/>
    </row>
    <row r="1803" spans="3:4">
      <c r="C1803" s="115"/>
      <c r="D1803" s="115"/>
    </row>
    <row r="1804" spans="3:4">
      <c r="C1804" s="115"/>
      <c r="D1804" s="115"/>
    </row>
    <row r="1805" spans="3:4">
      <c r="C1805" s="115"/>
      <c r="D1805" s="115"/>
    </row>
    <row r="1806" spans="3:4">
      <c r="C1806" s="115"/>
      <c r="D1806" s="115"/>
    </row>
    <row r="1807" spans="3:4">
      <c r="C1807" s="115"/>
      <c r="D1807" s="115"/>
    </row>
    <row r="1808" spans="3:4">
      <c r="C1808" s="115"/>
      <c r="D1808" s="115"/>
    </row>
    <row r="1809" spans="3:4">
      <c r="C1809" s="115"/>
      <c r="D1809" s="115"/>
    </row>
    <row r="1810" spans="3:4">
      <c r="C1810" s="115"/>
      <c r="D1810" s="115"/>
    </row>
    <row r="1811" spans="3:4">
      <c r="C1811" s="115"/>
      <c r="D1811" s="115"/>
    </row>
    <row r="1812" spans="3:4">
      <c r="C1812" s="115"/>
      <c r="D1812" s="115"/>
    </row>
    <row r="1813" spans="3:4">
      <c r="C1813" s="115"/>
      <c r="D1813" s="115"/>
    </row>
    <row r="1814" spans="3:4">
      <c r="C1814" s="115"/>
      <c r="D1814" s="115"/>
    </row>
    <row r="1815" spans="3:4">
      <c r="C1815" s="115"/>
      <c r="D1815" s="115"/>
    </row>
    <row r="1816" spans="3:4">
      <c r="C1816" s="115"/>
      <c r="D1816" s="115"/>
    </row>
    <row r="1817" spans="3:4">
      <c r="C1817" s="115"/>
      <c r="D1817" s="115"/>
    </row>
    <row r="1818" spans="3:4">
      <c r="C1818" s="115"/>
      <c r="D1818" s="115"/>
    </row>
    <row r="1819" spans="3:4">
      <c r="C1819" s="115"/>
      <c r="D1819" s="115"/>
    </row>
    <row r="1820" spans="3:4">
      <c r="C1820" s="115"/>
      <c r="D1820" s="115"/>
    </row>
    <row r="1821" spans="3:4">
      <c r="C1821" s="115"/>
      <c r="D1821" s="115"/>
    </row>
    <row r="1822" spans="3:4">
      <c r="C1822" s="115"/>
      <c r="D1822" s="115"/>
    </row>
    <row r="1823" spans="3:4">
      <c r="C1823" s="115"/>
      <c r="D1823" s="115"/>
    </row>
    <row r="1824" spans="3:4">
      <c r="C1824" s="115"/>
      <c r="D1824" s="115"/>
    </row>
    <row r="1825" spans="3:4">
      <c r="C1825" s="115"/>
      <c r="D1825" s="115"/>
    </row>
    <row r="1826" spans="3:4">
      <c r="C1826" s="115"/>
      <c r="D1826" s="115"/>
    </row>
    <row r="1827" spans="3:4">
      <c r="C1827" s="115"/>
      <c r="D1827" s="115"/>
    </row>
    <row r="1828" spans="3:4">
      <c r="C1828" s="115"/>
      <c r="D1828" s="115"/>
    </row>
    <row r="1829" spans="3:4">
      <c r="C1829" s="115"/>
      <c r="D1829" s="115"/>
    </row>
    <row r="1830" spans="3:4">
      <c r="C1830" s="115"/>
      <c r="D1830" s="115"/>
    </row>
    <row r="1831" spans="3:4">
      <c r="C1831" s="115"/>
      <c r="D1831" s="115"/>
    </row>
    <row r="1832" spans="3:4">
      <c r="C1832" s="115"/>
      <c r="D1832" s="115"/>
    </row>
    <row r="1833" spans="3:4">
      <c r="C1833" s="115"/>
      <c r="D1833" s="115"/>
    </row>
    <row r="1834" spans="3:4">
      <c r="C1834" s="115"/>
      <c r="D1834" s="115"/>
    </row>
    <row r="1835" spans="3:4">
      <c r="C1835" s="115"/>
      <c r="D1835" s="115"/>
    </row>
    <row r="1836" spans="3:4">
      <c r="C1836" s="115"/>
      <c r="D1836" s="115"/>
    </row>
    <row r="1837" spans="3:4">
      <c r="C1837" s="115"/>
      <c r="D1837" s="115"/>
    </row>
    <row r="1838" spans="3:4">
      <c r="C1838" s="115"/>
      <c r="D1838" s="115"/>
    </row>
    <row r="1839" spans="3:4">
      <c r="C1839" s="115"/>
      <c r="D1839" s="115"/>
    </row>
    <row r="1840" spans="3:4">
      <c r="C1840" s="115"/>
      <c r="D1840" s="115"/>
    </row>
    <row r="1841" spans="3:4">
      <c r="C1841" s="115"/>
      <c r="D1841" s="115"/>
    </row>
    <row r="1842" spans="3:4">
      <c r="C1842" s="115"/>
      <c r="D1842" s="115"/>
    </row>
    <row r="1843" spans="3:4">
      <c r="C1843" s="115"/>
      <c r="D1843" s="115"/>
    </row>
    <row r="1844" spans="3:4">
      <c r="C1844" s="115"/>
      <c r="D1844" s="115"/>
    </row>
    <row r="1845" spans="3:4">
      <c r="C1845" s="115"/>
      <c r="D1845" s="115"/>
    </row>
    <row r="1846" spans="3:4">
      <c r="C1846" s="115"/>
      <c r="D1846" s="115"/>
    </row>
    <row r="1847" spans="3:4">
      <c r="C1847" s="115"/>
      <c r="D1847" s="115"/>
    </row>
    <row r="1848" spans="3:4">
      <c r="C1848" s="115"/>
      <c r="D1848" s="115"/>
    </row>
    <row r="1849" spans="3:4">
      <c r="C1849" s="115"/>
      <c r="D1849" s="115"/>
    </row>
    <row r="1850" spans="3:4">
      <c r="C1850" s="115"/>
      <c r="D1850" s="115"/>
    </row>
    <row r="1851" spans="3:4">
      <c r="C1851" s="115"/>
      <c r="D1851" s="115"/>
    </row>
    <row r="1852" spans="3:4">
      <c r="C1852" s="115"/>
      <c r="D1852" s="115"/>
    </row>
    <row r="1853" spans="3:4">
      <c r="C1853" s="115"/>
      <c r="D1853" s="115"/>
    </row>
    <row r="1854" spans="3:4">
      <c r="C1854" s="115"/>
      <c r="D1854" s="115"/>
    </row>
    <row r="1855" spans="3:4">
      <c r="C1855" s="115"/>
      <c r="D1855" s="115"/>
    </row>
    <row r="1856" spans="3:4">
      <c r="C1856" s="115"/>
      <c r="D1856" s="115"/>
    </row>
    <row r="1857" spans="3:4">
      <c r="C1857" s="115"/>
      <c r="D1857" s="115"/>
    </row>
    <row r="1858" spans="3:4">
      <c r="C1858" s="115"/>
      <c r="D1858" s="115"/>
    </row>
    <row r="1859" spans="3:4">
      <c r="C1859" s="115"/>
      <c r="D1859" s="115"/>
    </row>
    <row r="1860" spans="3:4">
      <c r="C1860" s="115"/>
      <c r="D1860" s="115"/>
    </row>
    <row r="1861" spans="3:4">
      <c r="C1861" s="115"/>
      <c r="D1861" s="115"/>
    </row>
    <row r="1862" spans="3:4">
      <c r="C1862" s="115"/>
      <c r="D1862" s="115"/>
    </row>
    <row r="1863" spans="3:4">
      <c r="C1863" s="115"/>
      <c r="D1863" s="115"/>
    </row>
    <row r="1864" spans="3:4">
      <c r="C1864" s="115"/>
      <c r="D1864" s="115"/>
    </row>
    <row r="1865" spans="3:4">
      <c r="C1865" s="115"/>
      <c r="D1865" s="115"/>
    </row>
    <row r="1866" spans="3:4">
      <c r="C1866" s="115"/>
      <c r="D1866" s="115"/>
    </row>
    <row r="1867" spans="3:4">
      <c r="C1867" s="115"/>
      <c r="D1867" s="115"/>
    </row>
    <row r="1868" spans="3:4">
      <c r="C1868" s="115"/>
      <c r="D1868" s="115"/>
    </row>
    <row r="1869" spans="3:4">
      <c r="C1869" s="115"/>
      <c r="D1869" s="115"/>
    </row>
    <row r="1870" spans="3:4">
      <c r="C1870" s="115"/>
      <c r="D1870" s="115"/>
    </row>
    <row r="1871" spans="3:4">
      <c r="C1871" s="115"/>
      <c r="D1871" s="115"/>
    </row>
    <row r="1872" spans="3:4">
      <c r="C1872" s="115"/>
      <c r="D1872" s="115"/>
    </row>
    <row r="1873" spans="3:4">
      <c r="C1873" s="115"/>
      <c r="D1873" s="115"/>
    </row>
    <row r="1874" spans="3:4">
      <c r="C1874" s="115"/>
      <c r="D1874" s="115"/>
    </row>
    <row r="1875" spans="3:4">
      <c r="C1875" s="115"/>
      <c r="D1875" s="115"/>
    </row>
    <row r="1876" spans="3:4">
      <c r="C1876" s="115"/>
      <c r="D1876" s="115"/>
    </row>
    <row r="1877" spans="3:4">
      <c r="C1877" s="115"/>
      <c r="D1877" s="115"/>
    </row>
    <row r="1878" spans="3:4">
      <c r="C1878" s="115"/>
      <c r="D1878" s="115"/>
    </row>
    <row r="1879" spans="3:4">
      <c r="C1879" s="115"/>
      <c r="D1879" s="115"/>
    </row>
    <row r="1880" spans="3:4">
      <c r="C1880" s="115"/>
      <c r="D1880" s="115"/>
    </row>
    <row r="1881" spans="3:4">
      <c r="C1881" s="115"/>
      <c r="D1881" s="115"/>
    </row>
    <row r="1882" spans="3:4">
      <c r="C1882" s="115"/>
      <c r="D1882" s="115"/>
    </row>
    <row r="1883" spans="3:4">
      <c r="C1883" s="115"/>
      <c r="D1883" s="115"/>
    </row>
    <row r="1884" spans="3:4">
      <c r="C1884" s="115"/>
      <c r="D1884" s="115"/>
    </row>
    <row r="1885" spans="3:4">
      <c r="C1885" s="115"/>
      <c r="D1885" s="115"/>
    </row>
    <row r="1886" spans="3:4">
      <c r="C1886" s="115"/>
      <c r="D1886" s="115"/>
    </row>
    <row r="1887" spans="3:4">
      <c r="C1887" s="115"/>
      <c r="D1887" s="115"/>
    </row>
    <row r="1888" spans="3:4">
      <c r="C1888" s="115"/>
      <c r="D1888" s="115"/>
    </row>
    <row r="1889" spans="3:4">
      <c r="C1889" s="115"/>
      <c r="D1889" s="115"/>
    </row>
    <row r="1890" spans="3:4">
      <c r="C1890" s="115"/>
      <c r="D1890" s="115"/>
    </row>
    <row r="1891" spans="3:4">
      <c r="C1891" s="115"/>
      <c r="D1891" s="115"/>
    </row>
    <row r="1892" spans="3:4">
      <c r="C1892" s="115"/>
      <c r="D1892" s="115"/>
    </row>
    <row r="1893" spans="3:4">
      <c r="C1893" s="115"/>
      <c r="D1893" s="115"/>
    </row>
    <row r="1894" spans="3:4">
      <c r="C1894" s="115"/>
      <c r="D1894" s="115"/>
    </row>
    <row r="1895" spans="3:4">
      <c r="C1895" s="115"/>
      <c r="D1895" s="115"/>
    </row>
    <row r="1896" spans="3:4">
      <c r="C1896" s="115"/>
      <c r="D1896" s="115"/>
    </row>
    <row r="1897" spans="3:4">
      <c r="C1897" s="115"/>
      <c r="D1897" s="115"/>
    </row>
    <row r="1898" spans="3:4">
      <c r="C1898" s="115"/>
      <c r="D1898" s="115"/>
    </row>
    <row r="1899" spans="3:4">
      <c r="C1899" s="115"/>
      <c r="D1899" s="115"/>
    </row>
    <row r="1900" spans="3:4">
      <c r="C1900" s="115"/>
      <c r="D1900" s="115"/>
    </row>
    <row r="1901" spans="3:4">
      <c r="C1901" s="115"/>
      <c r="D1901" s="115"/>
    </row>
    <row r="1902" spans="3:4">
      <c r="C1902" s="115"/>
      <c r="D1902" s="115"/>
    </row>
    <row r="1903" spans="3:4">
      <c r="C1903" s="115"/>
      <c r="D1903" s="115"/>
    </row>
    <row r="1904" spans="3:4">
      <c r="C1904" s="115"/>
      <c r="D1904" s="115"/>
    </row>
    <row r="1905" spans="3:4">
      <c r="C1905" s="115"/>
      <c r="D1905" s="115"/>
    </row>
    <row r="1906" spans="3:4">
      <c r="C1906" s="115"/>
      <c r="D1906" s="115"/>
    </row>
    <row r="1907" spans="3:4">
      <c r="C1907" s="115"/>
      <c r="D1907" s="115"/>
    </row>
    <row r="1908" spans="3:4">
      <c r="C1908" s="115"/>
      <c r="D1908" s="115"/>
    </row>
    <row r="1909" spans="3:4">
      <c r="C1909" s="115"/>
      <c r="D1909" s="115"/>
    </row>
    <row r="1910" spans="3:4">
      <c r="C1910" s="115"/>
      <c r="D1910" s="115"/>
    </row>
    <row r="1911" spans="3:4">
      <c r="C1911" s="115"/>
      <c r="D1911" s="115"/>
    </row>
    <row r="1912" spans="3:4">
      <c r="C1912" s="115"/>
      <c r="D1912" s="115"/>
    </row>
    <row r="1913" spans="3:4">
      <c r="C1913" s="115"/>
      <c r="D1913" s="115"/>
    </row>
    <row r="1914" spans="3:4">
      <c r="C1914" s="115"/>
      <c r="D1914" s="115"/>
    </row>
    <row r="1915" spans="3:4">
      <c r="C1915" s="115"/>
      <c r="D1915" s="115"/>
    </row>
    <row r="1916" spans="3:4">
      <c r="C1916" s="115"/>
      <c r="D1916" s="115"/>
    </row>
    <row r="1917" spans="3:4">
      <c r="C1917" s="115"/>
      <c r="D1917" s="115"/>
    </row>
    <row r="1918" spans="3:4">
      <c r="C1918" s="115"/>
      <c r="D1918" s="115"/>
    </row>
    <row r="1919" spans="3:4">
      <c r="C1919" s="115"/>
      <c r="D1919" s="115"/>
    </row>
    <row r="1920" spans="3:4">
      <c r="C1920" s="115"/>
      <c r="D1920" s="115"/>
    </row>
    <row r="1921" spans="3:4">
      <c r="C1921" s="115"/>
      <c r="D1921" s="115"/>
    </row>
    <row r="1922" spans="3:4">
      <c r="C1922" s="115"/>
      <c r="D1922" s="115"/>
    </row>
    <row r="1923" spans="3:4">
      <c r="C1923" s="115"/>
      <c r="D1923" s="115"/>
    </row>
    <row r="1924" spans="3:4">
      <c r="C1924" s="115"/>
      <c r="D1924" s="115"/>
    </row>
    <row r="1925" spans="3:4">
      <c r="C1925" s="115"/>
      <c r="D1925" s="115"/>
    </row>
    <row r="1926" spans="3:4">
      <c r="C1926" s="115"/>
      <c r="D1926" s="115"/>
    </row>
    <row r="1927" spans="3:4">
      <c r="C1927" s="115"/>
      <c r="D1927" s="115"/>
    </row>
    <row r="1928" spans="3:4">
      <c r="C1928" s="115"/>
      <c r="D1928" s="115"/>
    </row>
    <row r="1929" spans="3:4">
      <c r="C1929" s="115"/>
      <c r="D1929" s="115"/>
    </row>
    <row r="1930" spans="3:4">
      <c r="C1930" s="115"/>
      <c r="D1930" s="115"/>
    </row>
    <row r="1931" spans="3:4">
      <c r="C1931" s="115"/>
      <c r="D1931" s="115"/>
    </row>
    <row r="1932" spans="3:4">
      <c r="C1932" s="115"/>
      <c r="D1932" s="115"/>
    </row>
    <row r="1933" spans="3:4">
      <c r="C1933" s="115"/>
      <c r="D1933" s="115"/>
    </row>
    <row r="1934" spans="3:4">
      <c r="C1934" s="115"/>
      <c r="D1934" s="115"/>
    </row>
    <row r="1935" spans="3:4">
      <c r="C1935" s="115"/>
      <c r="D1935" s="115"/>
    </row>
    <row r="1936" spans="3:4">
      <c r="C1936" s="115"/>
      <c r="D1936" s="115"/>
    </row>
    <row r="1937" spans="3:4">
      <c r="C1937" s="115"/>
      <c r="D1937" s="115"/>
    </row>
    <row r="1938" spans="3:4">
      <c r="C1938" s="115"/>
      <c r="D1938" s="115"/>
    </row>
    <row r="1939" spans="3:4">
      <c r="C1939" s="115"/>
      <c r="D1939" s="115"/>
    </row>
    <row r="1940" spans="3:4">
      <c r="C1940" s="115"/>
      <c r="D1940" s="115"/>
    </row>
    <row r="1941" spans="3:4">
      <c r="C1941" s="115"/>
      <c r="D1941" s="115"/>
    </row>
    <row r="1942" spans="3:4">
      <c r="C1942" s="115"/>
      <c r="D1942" s="115"/>
    </row>
    <row r="1943" spans="3:4">
      <c r="C1943" s="115"/>
      <c r="D1943" s="115"/>
    </row>
    <row r="1944" spans="3:4">
      <c r="C1944" s="115"/>
      <c r="D1944" s="115"/>
    </row>
    <row r="1945" spans="3:4">
      <c r="C1945" s="115"/>
      <c r="D1945" s="115"/>
    </row>
    <row r="1946" spans="3:4">
      <c r="C1946" s="115"/>
      <c r="D1946" s="115"/>
    </row>
    <row r="1947" spans="3:4">
      <c r="C1947" s="115"/>
      <c r="D1947" s="115"/>
    </row>
    <row r="1948" spans="3:4">
      <c r="C1948" s="115"/>
      <c r="D1948" s="115"/>
    </row>
    <row r="1949" spans="3:4">
      <c r="C1949" s="115"/>
      <c r="D1949" s="115"/>
    </row>
    <row r="1950" spans="3:4">
      <c r="C1950" s="115"/>
      <c r="D1950" s="115"/>
    </row>
    <row r="1951" spans="3:4">
      <c r="C1951" s="115"/>
      <c r="D1951" s="115"/>
    </row>
    <row r="1952" spans="3:4">
      <c r="C1952" s="115"/>
      <c r="D1952" s="115"/>
    </row>
    <row r="1953" spans="3:4">
      <c r="C1953" s="115"/>
      <c r="D1953" s="115"/>
    </row>
    <row r="1954" spans="3:4">
      <c r="C1954" s="115"/>
      <c r="D1954" s="115"/>
    </row>
    <row r="1955" spans="3:4">
      <c r="C1955" s="115"/>
      <c r="D1955" s="115"/>
    </row>
    <row r="1956" spans="3:4">
      <c r="C1956" s="115"/>
      <c r="D1956" s="115"/>
    </row>
    <row r="1957" spans="3:4">
      <c r="C1957" s="115"/>
      <c r="D1957" s="115"/>
    </row>
    <row r="1958" spans="3:4">
      <c r="C1958" s="115"/>
      <c r="D1958" s="115"/>
    </row>
    <row r="1959" spans="3:4">
      <c r="C1959" s="115"/>
      <c r="D1959" s="115"/>
    </row>
    <row r="1960" spans="3:4">
      <c r="C1960" s="115"/>
      <c r="D1960" s="115"/>
    </row>
    <row r="1961" spans="3:4">
      <c r="C1961" s="115"/>
      <c r="D1961" s="115"/>
    </row>
    <row r="1962" spans="3:4">
      <c r="C1962" s="115"/>
      <c r="D1962" s="115"/>
    </row>
    <row r="1963" spans="3:4">
      <c r="C1963" s="115"/>
      <c r="D1963" s="115"/>
    </row>
    <row r="1964" spans="3:4">
      <c r="C1964" s="115"/>
      <c r="D1964" s="115"/>
    </row>
    <row r="1965" spans="3:4">
      <c r="C1965" s="115"/>
      <c r="D1965" s="115"/>
    </row>
    <row r="1966" spans="3:4">
      <c r="C1966" s="115"/>
      <c r="D1966" s="115"/>
    </row>
    <row r="1967" spans="3:4">
      <c r="C1967" s="115"/>
      <c r="D1967" s="115"/>
    </row>
    <row r="1968" spans="3:4">
      <c r="C1968" s="115"/>
      <c r="D1968" s="115"/>
    </row>
    <row r="1969" spans="3:4">
      <c r="C1969" s="115"/>
      <c r="D1969" s="115"/>
    </row>
    <row r="1970" spans="3:4">
      <c r="C1970" s="115"/>
      <c r="D1970" s="115"/>
    </row>
    <row r="1971" spans="3:4">
      <c r="C1971" s="115"/>
      <c r="D1971" s="115"/>
    </row>
    <row r="1972" spans="3:4">
      <c r="C1972" s="115"/>
      <c r="D1972" s="115"/>
    </row>
    <row r="1973" spans="3:4">
      <c r="C1973" s="115"/>
      <c r="D1973" s="115"/>
    </row>
    <row r="1974" spans="3:4">
      <c r="C1974" s="115"/>
      <c r="D1974" s="115"/>
    </row>
    <row r="1975" spans="3:4">
      <c r="C1975" s="115"/>
      <c r="D1975" s="115"/>
    </row>
    <row r="1976" spans="3:4">
      <c r="C1976" s="115"/>
      <c r="D1976" s="115"/>
    </row>
    <row r="1977" spans="3:4">
      <c r="C1977" s="115"/>
      <c r="D1977" s="115"/>
    </row>
    <row r="1978" spans="3:4">
      <c r="C1978" s="115"/>
      <c r="D1978" s="115"/>
    </row>
    <row r="1979" spans="3:4">
      <c r="C1979" s="115"/>
      <c r="D1979" s="115"/>
    </row>
    <row r="1980" spans="3:4">
      <c r="C1980" s="115"/>
      <c r="D1980" s="115"/>
    </row>
    <row r="1981" spans="3:4">
      <c r="C1981" s="115"/>
      <c r="D1981" s="115"/>
    </row>
    <row r="1982" spans="3:4">
      <c r="C1982" s="115"/>
      <c r="D1982" s="115"/>
    </row>
    <row r="1983" spans="3:4">
      <c r="C1983" s="115"/>
      <c r="D1983" s="115"/>
    </row>
    <row r="1984" spans="3:4">
      <c r="C1984" s="115"/>
      <c r="D1984" s="115"/>
    </row>
    <row r="1985" spans="3:4">
      <c r="C1985" s="115"/>
      <c r="D1985" s="115"/>
    </row>
    <row r="1986" spans="3:4">
      <c r="C1986" s="115"/>
      <c r="D1986" s="115"/>
    </row>
    <row r="1987" spans="3:4">
      <c r="C1987" s="115"/>
      <c r="D1987" s="115"/>
    </row>
    <row r="1988" spans="3:4">
      <c r="C1988" s="115"/>
      <c r="D1988" s="115"/>
    </row>
    <row r="1989" spans="3:4">
      <c r="C1989" s="115"/>
      <c r="D1989" s="115"/>
    </row>
    <row r="1990" spans="3:4">
      <c r="C1990" s="115"/>
      <c r="D1990" s="115"/>
    </row>
    <row r="1991" spans="3:4">
      <c r="C1991" s="115"/>
      <c r="D1991" s="115"/>
    </row>
    <row r="1992" spans="3:4">
      <c r="C1992" s="115"/>
      <c r="D1992" s="115"/>
    </row>
    <row r="1993" spans="3:4">
      <c r="C1993" s="115"/>
      <c r="D1993" s="115"/>
    </row>
    <row r="1994" spans="3:4">
      <c r="C1994" s="115"/>
      <c r="D1994" s="115"/>
    </row>
    <row r="1995" spans="3:4">
      <c r="C1995" s="115"/>
      <c r="D1995" s="115"/>
    </row>
    <row r="1996" spans="3:4">
      <c r="C1996" s="115"/>
      <c r="D1996" s="115"/>
    </row>
    <row r="1997" spans="3:4">
      <c r="C1997" s="115"/>
      <c r="D1997" s="115"/>
    </row>
    <row r="1998" spans="3:4">
      <c r="C1998" s="115"/>
      <c r="D1998" s="115"/>
    </row>
    <row r="1999" spans="3:4">
      <c r="C1999" s="115"/>
      <c r="D1999" s="115"/>
    </row>
    <row r="2000" spans="3:4">
      <c r="C2000" s="115"/>
      <c r="D2000" s="115"/>
    </row>
    <row r="2001" spans="3:4">
      <c r="C2001" s="115"/>
      <c r="D2001" s="115"/>
    </row>
    <row r="2002" spans="3:4">
      <c r="C2002" s="115"/>
      <c r="D2002" s="115"/>
    </row>
    <row r="2003" spans="3:4">
      <c r="C2003" s="115"/>
      <c r="D2003" s="115"/>
    </row>
    <row r="2004" spans="3:4">
      <c r="C2004" s="115"/>
      <c r="D2004" s="115"/>
    </row>
    <row r="2005" spans="3:4">
      <c r="C2005" s="115"/>
      <c r="D2005" s="115"/>
    </row>
    <row r="2006" spans="3:4">
      <c r="C2006" s="115"/>
      <c r="D2006" s="115"/>
    </row>
    <row r="2007" spans="3:4">
      <c r="C2007" s="115"/>
      <c r="D2007" s="115"/>
    </row>
    <row r="2008" spans="3:4">
      <c r="C2008" s="115"/>
      <c r="D2008" s="115"/>
    </row>
    <row r="2009" spans="3:4">
      <c r="C2009" s="115"/>
      <c r="D2009" s="115"/>
    </row>
    <row r="2010" spans="3:4">
      <c r="C2010" s="115"/>
      <c r="D2010" s="115"/>
    </row>
    <row r="2011" spans="3:4">
      <c r="C2011" s="115"/>
      <c r="D2011" s="115"/>
    </row>
    <row r="2012" spans="3:4">
      <c r="C2012" s="115"/>
      <c r="D2012" s="115"/>
    </row>
    <row r="2013" spans="3:4">
      <c r="C2013" s="115"/>
      <c r="D2013" s="115"/>
    </row>
    <row r="2014" spans="3:4">
      <c r="C2014" s="115"/>
      <c r="D2014" s="115"/>
    </row>
    <row r="2015" spans="3:4">
      <c r="C2015" s="115"/>
      <c r="D2015" s="115"/>
    </row>
    <row r="2016" spans="3:4">
      <c r="C2016" s="115"/>
      <c r="D2016" s="115"/>
    </row>
    <row r="2017" spans="3:4">
      <c r="C2017" s="115"/>
      <c r="D2017" s="115"/>
    </row>
    <row r="2018" spans="3:4">
      <c r="C2018" s="115"/>
      <c r="D2018" s="115"/>
    </row>
    <row r="2019" spans="3:4">
      <c r="C2019" s="115"/>
      <c r="D2019" s="115"/>
    </row>
    <row r="2020" spans="3:4">
      <c r="C2020" s="115"/>
      <c r="D2020" s="115"/>
    </row>
    <row r="2021" spans="3:4">
      <c r="C2021" s="115"/>
      <c r="D2021" s="115"/>
    </row>
    <row r="2022" spans="3:4">
      <c r="C2022" s="115"/>
      <c r="D2022" s="115"/>
    </row>
    <row r="2023" spans="3:4">
      <c r="C2023" s="115"/>
      <c r="D2023" s="115"/>
    </row>
    <row r="2024" spans="3:4">
      <c r="C2024" s="115"/>
      <c r="D2024" s="115"/>
    </row>
    <row r="2025" spans="3:4">
      <c r="C2025" s="115"/>
      <c r="D2025" s="115"/>
    </row>
    <row r="2026" spans="3:4">
      <c r="C2026" s="115"/>
      <c r="D2026" s="115"/>
    </row>
    <row r="2027" spans="3:4">
      <c r="C2027" s="115"/>
      <c r="D2027" s="115"/>
    </row>
    <row r="2028" spans="3:4">
      <c r="C2028" s="115"/>
      <c r="D2028" s="115"/>
    </row>
    <row r="2029" spans="3:4">
      <c r="C2029" s="115"/>
      <c r="D2029" s="115"/>
    </row>
    <row r="2030" spans="3:4">
      <c r="C2030" s="115"/>
      <c r="D2030" s="115"/>
    </row>
    <row r="2031" spans="3:4">
      <c r="C2031" s="115"/>
      <c r="D2031" s="115"/>
    </row>
    <row r="2032" spans="3:4">
      <c r="C2032" s="115"/>
      <c r="D2032" s="115"/>
    </row>
    <row r="2033" spans="3:4">
      <c r="C2033" s="115"/>
      <c r="D2033" s="115"/>
    </row>
    <row r="2034" spans="3:4">
      <c r="C2034" s="115"/>
      <c r="D2034" s="115"/>
    </row>
    <row r="2035" spans="3:4">
      <c r="C2035" s="115"/>
      <c r="D2035" s="115"/>
    </row>
    <row r="2036" spans="3:4">
      <c r="C2036" s="115"/>
      <c r="D2036" s="115"/>
    </row>
    <row r="2037" spans="3:4">
      <c r="C2037" s="115"/>
      <c r="D2037" s="115"/>
    </row>
    <row r="2038" spans="3:4">
      <c r="C2038" s="115"/>
      <c r="D2038" s="115"/>
    </row>
    <row r="2039" spans="3:4">
      <c r="C2039" s="115"/>
      <c r="D2039" s="115"/>
    </row>
    <row r="2040" spans="3:4">
      <c r="C2040" s="115"/>
      <c r="D2040" s="115"/>
    </row>
    <row r="2041" spans="3:4">
      <c r="C2041" s="115"/>
      <c r="D2041" s="115"/>
    </row>
    <row r="2042" spans="3:4">
      <c r="C2042" s="115"/>
      <c r="D2042" s="115"/>
    </row>
    <row r="2043" spans="3:4">
      <c r="C2043" s="115"/>
      <c r="D2043" s="115"/>
    </row>
    <row r="2044" spans="3:4">
      <c r="C2044" s="115"/>
      <c r="D2044" s="115"/>
    </row>
    <row r="2045" spans="3:4">
      <c r="C2045" s="115"/>
      <c r="D2045" s="115"/>
    </row>
    <row r="2046" spans="3:4">
      <c r="C2046" s="115"/>
      <c r="D2046" s="115"/>
    </row>
    <row r="2047" spans="3:4">
      <c r="C2047" s="115"/>
      <c r="D2047" s="115"/>
    </row>
    <row r="2048" spans="3:4">
      <c r="C2048" s="115"/>
      <c r="D2048" s="115"/>
    </row>
    <row r="2049" spans="3:4">
      <c r="C2049" s="115"/>
      <c r="D2049" s="115"/>
    </row>
    <row r="2050" spans="3:4">
      <c r="C2050" s="115"/>
      <c r="D2050" s="115"/>
    </row>
    <row r="2051" spans="3:4">
      <c r="C2051" s="115"/>
      <c r="D2051" s="115"/>
    </row>
    <row r="2052" spans="3:4">
      <c r="C2052" s="115"/>
      <c r="D2052" s="115"/>
    </row>
    <row r="2053" spans="3:4">
      <c r="C2053" s="115"/>
      <c r="D2053" s="115"/>
    </row>
    <row r="2054" spans="3:4">
      <c r="C2054" s="115"/>
      <c r="D2054" s="115"/>
    </row>
    <row r="2055" spans="3:4">
      <c r="C2055" s="115"/>
      <c r="D2055" s="115"/>
    </row>
    <row r="2056" spans="3:4">
      <c r="C2056" s="115"/>
      <c r="D2056" s="115"/>
    </row>
    <row r="2057" spans="3:4">
      <c r="C2057" s="115"/>
      <c r="D2057" s="115"/>
    </row>
    <row r="2058" spans="3:4">
      <c r="C2058" s="115"/>
      <c r="D2058" s="115"/>
    </row>
    <row r="2059" spans="3:4">
      <c r="C2059" s="115"/>
      <c r="D2059" s="115"/>
    </row>
    <row r="2060" spans="3:4">
      <c r="C2060" s="115"/>
      <c r="D2060" s="115"/>
    </row>
    <row r="2061" spans="3:4">
      <c r="C2061" s="115"/>
      <c r="D2061" s="115"/>
    </row>
    <row r="2062" spans="3:4">
      <c r="C2062" s="115"/>
      <c r="D2062" s="115"/>
    </row>
    <row r="2063" spans="3:4">
      <c r="C2063" s="115"/>
      <c r="D2063" s="115"/>
    </row>
    <row r="2064" spans="3:4">
      <c r="C2064" s="115"/>
      <c r="D2064" s="115"/>
    </row>
    <row r="2065" spans="3:4">
      <c r="C2065" s="115"/>
      <c r="D2065" s="115"/>
    </row>
    <row r="2066" spans="3:4">
      <c r="C2066" s="115"/>
      <c r="D2066" s="115"/>
    </row>
    <row r="2067" spans="3:4">
      <c r="C2067" s="115"/>
      <c r="D2067" s="115"/>
    </row>
    <row r="2068" spans="3:4">
      <c r="C2068" s="115"/>
      <c r="D2068" s="115"/>
    </row>
    <row r="2069" spans="3:4">
      <c r="C2069" s="115"/>
      <c r="D2069" s="115"/>
    </row>
    <row r="2070" spans="3:4">
      <c r="C2070" s="115"/>
      <c r="D2070" s="115"/>
    </row>
    <row r="2071" spans="3:4">
      <c r="C2071" s="115"/>
      <c r="D2071" s="115"/>
    </row>
    <row r="2072" spans="3:4">
      <c r="C2072" s="115"/>
      <c r="D2072" s="115"/>
    </row>
    <row r="2073" spans="3:4">
      <c r="C2073" s="115"/>
      <c r="D2073" s="115"/>
    </row>
    <row r="2074" spans="3:4">
      <c r="C2074" s="115"/>
      <c r="D2074" s="115"/>
    </row>
    <row r="2075" spans="3:4">
      <c r="C2075" s="115"/>
      <c r="D2075" s="115"/>
    </row>
    <row r="2076" spans="3:4">
      <c r="C2076" s="115"/>
      <c r="D2076" s="115"/>
    </row>
    <row r="2077" spans="3:4">
      <c r="C2077" s="115"/>
      <c r="D2077" s="115"/>
    </row>
    <row r="2078" spans="3:4">
      <c r="C2078" s="115"/>
      <c r="D2078" s="115"/>
    </row>
    <row r="2079" spans="3:4">
      <c r="C2079" s="115"/>
      <c r="D2079" s="115"/>
    </row>
    <row r="2080" spans="3:4">
      <c r="C2080" s="115"/>
      <c r="D2080" s="115"/>
    </row>
    <row r="2081" spans="3:4">
      <c r="C2081" s="115"/>
      <c r="D2081" s="115"/>
    </row>
    <row r="2082" spans="3:4">
      <c r="C2082" s="115"/>
      <c r="D2082" s="115"/>
    </row>
    <row r="2083" spans="3:4">
      <c r="C2083" s="115"/>
      <c r="D2083" s="115"/>
    </row>
    <row r="2084" spans="3:4">
      <c r="C2084" s="115"/>
      <c r="D2084" s="115"/>
    </row>
    <row r="2085" spans="3:4">
      <c r="C2085" s="115"/>
      <c r="D2085" s="115"/>
    </row>
    <row r="2086" spans="3:4">
      <c r="C2086" s="115"/>
      <c r="D2086" s="115"/>
    </row>
    <row r="2087" spans="3:4">
      <c r="C2087" s="115"/>
      <c r="D2087" s="115"/>
    </row>
    <row r="2088" spans="3:4">
      <c r="C2088" s="115"/>
      <c r="D2088" s="115"/>
    </row>
    <row r="2089" spans="3:4">
      <c r="C2089" s="115"/>
      <c r="D2089" s="115"/>
    </row>
    <row r="2090" spans="3:4">
      <c r="C2090" s="115"/>
      <c r="D2090" s="115"/>
    </row>
    <row r="2091" spans="3:4">
      <c r="C2091" s="115"/>
      <c r="D2091" s="115"/>
    </row>
    <row r="2092" spans="3:4">
      <c r="C2092" s="115"/>
      <c r="D2092" s="115"/>
    </row>
    <row r="2093" spans="3:4">
      <c r="C2093" s="115"/>
      <c r="D2093" s="115"/>
    </row>
    <row r="2094" spans="3:4">
      <c r="C2094" s="115"/>
      <c r="D2094" s="115"/>
    </row>
    <row r="2095" spans="3:4">
      <c r="C2095" s="115"/>
      <c r="D2095" s="115"/>
    </row>
    <row r="2096" spans="3:4">
      <c r="C2096" s="115"/>
      <c r="D2096" s="115"/>
    </row>
    <row r="2097" spans="3:4">
      <c r="C2097" s="115"/>
      <c r="D2097" s="115"/>
    </row>
    <row r="2098" spans="3:4">
      <c r="C2098" s="115"/>
      <c r="D2098" s="115"/>
    </row>
    <row r="2099" spans="3:4">
      <c r="C2099" s="115"/>
      <c r="D2099" s="115"/>
    </row>
    <row r="2100" spans="3:4">
      <c r="C2100" s="115"/>
      <c r="D2100" s="115"/>
    </row>
    <row r="2101" spans="3:4">
      <c r="C2101" s="115"/>
      <c r="D2101" s="115"/>
    </row>
    <row r="2102" spans="3:4">
      <c r="C2102" s="115"/>
      <c r="D2102" s="115"/>
    </row>
    <row r="2103" spans="3:4">
      <c r="C2103" s="115"/>
      <c r="D2103" s="115"/>
    </row>
    <row r="2104" spans="3:4">
      <c r="C2104" s="115"/>
      <c r="D2104" s="115"/>
    </row>
    <row r="2105" spans="3:4">
      <c r="C2105" s="115"/>
      <c r="D2105" s="115"/>
    </row>
    <row r="2106" spans="3:4">
      <c r="C2106" s="115"/>
      <c r="D2106" s="115"/>
    </row>
    <row r="2107" spans="3:4">
      <c r="C2107" s="115"/>
      <c r="D2107" s="115"/>
    </row>
    <row r="2108" spans="3:4">
      <c r="C2108" s="115"/>
      <c r="D2108" s="115"/>
    </row>
    <row r="2109" spans="3:4">
      <c r="C2109" s="115"/>
      <c r="D2109" s="115"/>
    </row>
    <row r="2110" spans="3:4">
      <c r="C2110" s="115"/>
      <c r="D2110" s="115"/>
    </row>
    <row r="2111" spans="3:4">
      <c r="C2111" s="115"/>
      <c r="D2111" s="115"/>
    </row>
    <row r="2112" spans="3:4">
      <c r="C2112" s="115"/>
      <c r="D2112" s="115"/>
    </row>
    <row r="2113" spans="3:4">
      <c r="C2113" s="115"/>
      <c r="D2113" s="115"/>
    </row>
    <row r="2114" spans="3:4">
      <c r="C2114" s="115"/>
      <c r="D2114" s="115"/>
    </row>
    <row r="2115" spans="3:4">
      <c r="C2115" s="115"/>
      <c r="D2115" s="115"/>
    </row>
    <row r="2116" spans="3:4">
      <c r="C2116" s="115"/>
      <c r="D2116" s="115"/>
    </row>
    <row r="2117" spans="3:4">
      <c r="C2117" s="115"/>
      <c r="D2117" s="115"/>
    </row>
    <row r="2118" spans="3:4">
      <c r="C2118" s="115"/>
      <c r="D2118" s="115"/>
    </row>
    <row r="2119" spans="3:4">
      <c r="C2119" s="115"/>
      <c r="D2119" s="115"/>
    </row>
    <row r="2120" spans="3:4">
      <c r="C2120" s="115"/>
      <c r="D2120" s="115"/>
    </row>
    <row r="2121" spans="3:4">
      <c r="C2121" s="115"/>
      <c r="D2121" s="115"/>
    </row>
    <row r="2122" spans="3:4">
      <c r="C2122" s="115"/>
      <c r="D2122" s="115"/>
    </row>
    <row r="2123" spans="3:4">
      <c r="C2123" s="115"/>
      <c r="D2123" s="115"/>
    </row>
    <row r="2124" spans="3:4">
      <c r="C2124" s="115"/>
      <c r="D2124" s="115"/>
    </row>
    <row r="2125" spans="3:4">
      <c r="C2125" s="115"/>
      <c r="D2125" s="115"/>
    </row>
    <row r="2126" spans="3:4">
      <c r="C2126" s="115"/>
      <c r="D2126" s="115"/>
    </row>
    <row r="2127" spans="3:4">
      <c r="C2127" s="115"/>
      <c r="D2127" s="115"/>
    </row>
    <row r="2128" spans="3:4">
      <c r="C2128" s="115"/>
      <c r="D2128" s="115"/>
    </row>
    <row r="2129" spans="3:4">
      <c r="C2129" s="115"/>
      <c r="D2129" s="115"/>
    </row>
    <row r="2130" spans="3:4">
      <c r="C2130" s="115"/>
      <c r="D2130" s="115"/>
    </row>
    <row r="2131" spans="3:4">
      <c r="C2131" s="115"/>
      <c r="D2131" s="115"/>
    </row>
    <row r="2132" spans="3:4">
      <c r="C2132" s="115"/>
      <c r="D2132" s="115"/>
    </row>
    <row r="2133" spans="3:4">
      <c r="C2133" s="115"/>
      <c r="D2133" s="115"/>
    </row>
    <row r="2134" spans="3:4">
      <c r="C2134" s="115"/>
      <c r="D2134" s="115"/>
    </row>
    <row r="2135" spans="3:4">
      <c r="C2135" s="115"/>
      <c r="D2135" s="115"/>
    </row>
    <row r="2136" spans="3:4">
      <c r="C2136" s="115"/>
      <c r="D2136" s="115"/>
    </row>
    <row r="2137" spans="3:4">
      <c r="C2137" s="115"/>
      <c r="D2137" s="115"/>
    </row>
    <row r="2138" spans="3:4">
      <c r="C2138" s="115"/>
      <c r="D2138" s="115"/>
    </row>
    <row r="2139" spans="3:4">
      <c r="C2139" s="115"/>
      <c r="D2139" s="115"/>
    </row>
    <row r="2140" spans="3:4">
      <c r="C2140" s="115"/>
      <c r="D2140" s="115"/>
    </row>
    <row r="2141" spans="3:4">
      <c r="C2141" s="115"/>
      <c r="D2141" s="115"/>
    </row>
    <row r="2142" spans="3:4">
      <c r="C2142" s="115"/>
      <c r="D2142" s="115"/>
    </row>
    <row r="2143" spans="3:4">
      <c r="C2143" s="115"/>
      <c r="D2143" s="115"/>
    </row>
    <row r="2144" spans="3:4">
      <c r="C2144" s="115"/>
      <c r="D2144" s="115"/>
    </row>
    <row r="2145" spans="3:4">
      <c r="C2145" s="115"/>
      <c r="D2145" s="115"/>
    </row>
    <row r="2146" spans="3:4">
      <c r="C2146" s="115"/>
      <c r="D2146" s="115"/>
    </row>
    <row r="2147" spans="3:4">
      <c r="C2147" s="115"/>
      <c r="D2147" s="115"/>
    </row>
    <row r="2148" spans="3:4">
      <c r="C2148" s="115"/>
      <c r="D2148" s="115"/>
    </row>
    <row r="2149" spans="3:4">
      <c r="C2149" s="115"/>
      <c r="D2149" s="115"/>
    </row>
    <row r="2150" spans="3:4">
      <c r="C2150" s="115"/>
      <c r="D2150" s="115"/>
    </row>
    <row r="2151" spans="3:4">
      <c r="C2151" s="115"/>
      <c r="D2151" s="115"/>
    </row>
    <row r="2152" spans="3:4">
      <c r="C2152" s="115"/>
      <c r="D2152" s="115"/>
    </row>
    <row r="2153" spans="3:4">
      <c r="C2153" s="115"/>
      <c r="D2153" s="115"/>
    </row>
    <row r="2154" spans="3:4">
      <c r="C2154" s="115"/>
      <c r="D2154" s="115"/>
    </row>
    <row r="2155" spans="3:4">
      <c r="C2155" s="115"/>
      <c r="D2155" s="115"/>
    </row>
    <row r="2156" spans="3:4">
      <c r="C2156" s="115"/>
      <c r="D2156" s="115"/>
    </row>
    <row r="2157" spans="3:4">
      <c r="C2157" s="115"/>
      <c r="D2157" s="115"/>
    </row>
    <row r="2158" spans="3:4">
      <c r="C2158" s="115"/>
      <c r="D2158" s="115"/>
    </row>
    <row r="2159" spans="3:4">
      <c r="C2159" s="115"/>
      <c r="D2159" s="115"/>
    </row>
    <row r="2160" spans="3:4">
      <c r="C2160" s="115"/>
      <c r="D2160" s="115"/>
    </row>
    <row r="2161" spans="3:4">
      <c r="C2161" s="115"/>
      <c r="D2161" s="115"/>
    </row>
    <row r="2162" spans="3:4">
      <c r="C2162" s="115"/>
      <c r="D2162" s="115"/>
    </row>
    <row r="2163" spans="3:4">
      <c r="C2163" s="115"/>
      <c r="D2163" s="115"/>
    </row>
    <row r="2164" spans="3:4">
      <c r="C2164" s="115"/>
      <c r="D2164" s="115"/>
    </row>
    <row r="2165" spans="3:4">
      <c r="C2165" s="115"/>
      <c r="D2165" s="115"/>
    </row>
    <row r="2166" spans="3:4">
      <c r="C2166" s="115"/>
      <c r="D2166" s="115"/>
    </row>
    <row r="2167" spans="3:4">
      <c r="C2167" s="115"/>
      <c r="D2167" s="115"/>
    </row>
    <row r="2168" spans="3:4">
      <c r="C2168" s="115"/>
      <c r="D2168" s="115"/>
    </row>
    <row r="2169" spans="3:4">
      <c r="C2169" s="115"/>
      <c r="D2169" s="115"/>
    </row>
    <row r="2170" spans="3:4">
      <c r="C2170" s="115"/>
      <c r="D2170" s="115"/>
    </row>
    <row r="2171" spans="3:4">
      <c r="C2171" s="115"/>
      <c r="D2171" s="115"/>
    </row>
    <row r="2172" spans="3:4">
      <c r="C2172" s="115"/>
      <c r="D2172" s="115"/>
    </row>
    <row r="2173" spans="3:4">
      <c r="C2173" s="115"/>
      <c r="D2173" s="115"/>
    </row>
    <row r="2174" spans="3:4">
      <c r="C2174" s="115"/>
      <c r="D2174" s="115"/>
    </row>
    <row r="2175" spans="3:4">
      <c r="C2175" s="115"/>
      <c r="D2175" s="115"/>
    </row>
    <row r="2176" spans="3:4">
      <c r="C2176" s="115"/>
      <c r="D2176" s="115"/>
    </row>
    <row r="2177" spans="3:4">
      <c r="C2177" s="115"/>
      <c r="D2177" s="115"/>
    </row>
    <row r="2178" spans="3:4">
      <c r="C2178" s="115"/>
      <c r="D2178" s="115"/>
    </row>
    <row r="2179" spans="3:4">
      <c r="C2179" s="115"/>
      <c r="D2179" s="115"/>
    </row>
    <row r="2180" spans="3:4">
      <c r="C2180" s="115"/>
      <c r="D2180" s="115"/>
    </row>
    <row r="2181" spans="3:4">
      <c r="C2181" s="115"/>
      <c r="D2181" s="115"/>
    </row>
    <row r="2182" spans="3:4">
      <c r="C2182" s="115"/>
      <c r="D2182" s="115"/>
    </row>
    <row r="2183" spans="3:4">
      <c r="C2183" s="115"/>
      <c r="D2183" s="115"/>
    </row>
    <row r="2184" spans="3:4">
      <c r="C2184" s="115"/>
      <c r="D2184" s="115"/>
    </row>
    <row r="2185" spans="3:4">
      <c r="C2185" s="115"/>
      <c r="D2185" s="115"/>
    </row>
    <row r="2186" spans="3:4">
      <c r="C2186" s="115"/>
      <c r="D2186" s="115"/>
    </row>
    <row r="2187" spans="3:4">
      <c r="C2187" s="115"/>
      <c r="D2187" s="115"/>
    </row>
    <row r="2188" spans="3:4">
      <c r="C2188" s="115"/>
      <c r="D2188" s="115"/>
    </row>
    <row r="2189" spans="3:4">
      <c r="C2189" s="115"/>
      <c r="D2189" s="115"/>
    </row>
    <row r="2190" spans="3:4">
      <c r="C2190" s="115"/>
      <c r="D2190" s="115"/>
    </row>
    <row r="2191" spans="3:4">
      <c r="C2191" s="115"/>
      <c r="D2191" s="115"/>
    </row>
    <row r="2192" spans="3:4">
      <c r="C2192" s="115"/>
      <c r="D2192" s="115"/>
    </row>
    <row r="2193" spans="3:4">
      <c r="C2193" s="115"/>
      <c r="D2193" s="115"/>
    </row>
    <row r="2194" spans="3:4">
      <c r="C2194" s="115"/>
      <c r="D2194" s="115"/>
    </row>
    <row r="2195" spans="3:4">
      <c r="C2195" s="115"/>
      <c r="D2195" s="115"/>
    </row>
    <row r="2196" spans="3:4">
      <c r="C2196" s="115"/>
      <c r="D2196" s="115"/>
    </row>
    <row r="2197" spans="3:4">
      <c r="C2197" s="115"/>
      <c r="D2197" s="115"/>
    </row>
    <row r="2198" spans="3:4">
      <c r="C2198" s="115"/>
      <c r="D2198" s="115"/>
    </row>
    <row r="2199" spans="3:4">
      <c r="C2199" s="115"/>
      <c r="D2199" s="115"/>
    </row>
    <row r="2200" spans="3:4">
      <c r="C2200" s="115"/>
      <c r="D2200" s="115"/>
    </row>
    <row r="2201" spans="3:4">
      <c r="C2201" s="115"/>
      <c r="D2201" s="115"/>
    </row>
    <row r="2202" spans="3:4">
      <c r="C2202" s="115"/>
      <c r="D2202" s="115"/>
    </row>
    <row r="2203" spans="3:4">
      <c r="C2203" s="115"/>
      <c r="D2203" s="115"/>
    </row>
    <row r="2204" spans="3:4">
      <c r="C2204" s="115"/>
      <c r="D2204" s="115"/>
    </row>
    <row r="2205" spans="3:4">
      <c r="C2205" s="115"/>
      <c r="D2205" s="115"/>
    </row>
    <row r="2206" spans="3:4">
      <c r="C2206" s="115"/>
      <c r="D2206" s="115"/>
    </row>
    <row r="2207" spans="3:4">
      <c r="C2207" s="115"/>
      <c r="D2207" s="115"/>
    </row>
    <row r="2208" spans="3:4">
      <c r="C2208" s="115"/>
      <c r="D2208" s="115"/>
    </row>
    <row r="2209" spans="3:4">
      <c r="C2209" s="115"/>
      <c r="D2209" s="115"/>
    </row>
    <row r="2210" spans="3:4">
      <c r="C2210" s="115"/>
      <c r="D2210" s="115"/>
    </row>
    <row r="2211" spans="3:4">
      <c r="C2211" s="115"/>
      <c r="D2211" s="115"/>
    </row>
    <row r="2212" spans="3:4">
      <c r="C2212" s="115"/>
      <c r="D2212" s="115"/>
    </row>
    <row r="2213" spans="3:4">
      <c r="C2213" s="115"/>
      <c r="D2213" s="115"/>
    </row>
    <row r="2214" spans="3:4">
      <c r="C2214" s="115"/>
      <c r="D2214" s="115"/>
    </row>
    <row r="2215" spans="3:4">
      <c r="C2215" s="115"/>
      <c r="D2215" s="115"/>
    </row>
    <row r="2216" spans="3:4">
      <c r="C2216" s="115"/>
      <c r="D2216" s="115"/>
    </row>
    <row r="2217" spans="3:4">
      <c r="C2217" s="115"/>
      <c r="D2217" s="115"/>
    </row>
    <row r="2218" spans="3:4">
      <c r="C2218" s="115"/>
      <c r="D2218" s="115"/>
    </row>
    <row r="2219" spans="3:4">
      <c r="C2219" s="115"/>
      <c r="D2219" s="115"/>
    </row>
    <row r="2220" spans="3:4">
      <c r="C2220" s="115"/>
      <c r="D2220" s="115"/>
    </row>
    <row r="2221" spans="3:4">
      <c r="C2221" s="115"/>
      <c r="D2221" s="115"/>
    </row>
    <row r="2222" spans="3:4">
      <c r="C2222" s="115"/>
      <c r="D2222" s="115"/>
    </row>
    <row r="2223" spans="3:4">
      <c r="C2223" s="115"/>
      <c r="D2223" s="115"/>
    </row>
    <row r="2224" spans="3:4">
      <c r="C2224" s="115"/>
      <c r="D2224" s="115"/>
    </row>
    <row r="2225" spans="3:4">
      <c r="C2225" s="115"/>
      <c r="D2225" s="115"/>
    </row>
    <row r="2226" spans="3:4">
      <c r="C2226" s="115"/>
      <c r="D2226" s="115"/>
    </row>
    <row r="2227" spans="3:4">
      <c r="C2227" s="115"/>
      <c r="D2227" s="115"/>
    </row>
    <row r="2228" spans="3:4">
      <c r="C2228" s="115"/>
      <c r="D2228" s="115"/>
    </row>
    <row r="2229" spans="3:4">
      <c r="C2229" s="115"/>
      <c r="D2229" s="115"/>
    </row>
    <row r="2230" spans="3:4">
      <c r="C2230" s="115"/>
      <c r="D2230" s="115"/>
    </row>
    <row r="2231" spans="3:4">
      <c r="C2231" s="115"/>
      <c r="D2231" s="115"/>
    </row>
    <row r="2232" spans="3:4">
      <c r="C2232" s="115"/>
      <c r="D2232" s="115"/>
    </row>
    <row r="2233" spans="3:4">
      <c r="C2233" s="115"/>
      <c r="D2233" s="115"/>
    </row>
    <row r="2234" spans="3:4">
      <c r="C2234" s="115"/>
      <c r="D2234" s="115"/>
    </row>
    <row r="2235" spans="3:4">
      <c r="C2235" s="115"/>
      <c r="D2235" s="115"/>
    </row>
    <row r="2236" spans="3:4">
      <c r="C2236" s="115"/>
      <c r="D2236" s="115"/>
    </row>
    <row r="2237" spans="3:4">
      <c r="C2237" s="115"/>
      <c r="D2237" s="115"/>
    </row>
    <row r="2238" spans="3:4">
      <c r="C2238" s="115"/>
      <c r="D2238" s="115"/>
    </row>
    <row r="2239" spans="3:4">
      <c r="C2239" s="115"/>
      <c r="D2239" s="115"/>
    </row>
    <row r="2240" spans="3:4">
      <c r="C2240" s="115"/>
      <c r="D2240" s="115"/>
    </row>
    <row r="2241" spans="3:4">
      <c r="C2241" s="115"/>
      <c r="D2241" s="115"/>
    </row>
    <row r="2242" spans="3:4">
      <c r="C2242" s="115"/>
      <c r="D2242" s="115"/>
    </row>
    <row r="2243" spans="3:4">
      <c r="C2243" s="115"/>
      <c r="D2243" s="115"/>
    </row>
    <row r="2244" spans="3:4">
      <c r="C2244" s="115"/>
      <c r="D2244" s="115"/>
    </row>
    <row r="2245" spans="3:4">
      <c r="C2245" s="115"/>
      <c r="D2245" s="115"/>
    </row>
    <row r="2246" spans="3:4">
      <c r="C2246" s="115"/>
      <c r="D2246" s="115"/>
    </row>
    <row r="2247" spans="3:4">
      <c r="C2247" s="115"/>
      <c r="D2247" s="115"/>
    </row>
    <row r="2248" spans="3:4">
      <c r="C2248" s="115"/>
      <c r="D2248" s="115"/>
    </row>
    <row r="2249" spans="3:4">
      <c r="C2249" s="115"/>
      <c r="D2249" s="115"/>
    </row>
    <row r="2250" spans="3:4">
      <c r="C2250" s="115"/>
      <c r="D2250" s="115"/>
    </row>
    <row r="2251" spans="3:4">
      <c r="C2251" s="115"/>
      <c r="D2251" s="115"/>
    </row>
    <row r="2252" spans="3:4">
      <c r="C2252" s="115"/>
      <c r="D2252" s="115"/>
    </row>
    <row r="2253" spans="3:4">
      <c r="C2253" s="115"/>
      <c r="D2253" s="115"/>
    </row>
    <row r="2254" spans="3:4">
      <c r="C2254" s="115"/>
      <c r="D2254" s="115"/>
    </row>
    <row r="2255" spans="3:4">
      <c r="C2255" s="115"/>
      <c r="D2255" s="115"/>
    </row>
    <row r="2256" spans="3:4">
      <c r="C2256" s="115"/>
      <c r="D2256" s="115"/>
    </row>
    <row r="2257" spans="3:4">
      <c r="C2257" s="115"/>
      <c r="D2257" s="115"/>
    </row>
    <row r="2258" spans="3:4">
      <c r="C2258" s="115"/>
      <c r="D2258" s="115"/>
    </row>
    <row r="2259" spans="3:4">
      <c r="C2259" s="115"/>
      <c r="D2259" s="115"/>
    </row>
    <row r="2260" spans="3:4">
      <c r="C2260" s="115"/>
      <c r="D2260" s="115"/>
    </row>
    <row r="2261" spans="3:4">
      <c r="C2261" s="115"/>
      <c r="D2261" s="115"/>
    </row>
    <row r="2262" spans="3:4">
      <c r="C2262" s="115"/>
      <c r="D2262" s="115"/>
    </row>
    <row r="2263" spans="3:4">
      <c r="C2263" s="115"/>
      <c r="D2263" s="115"/>
    </row>
    <row r="2264" spans="3:4">
      <c r="C2264" s="115"/>
      <c r="D2264" s="115"/>
    </row>
    <row r="2265" spans="3:4">
      <c r="C2265" s="115"/>
      <c r="D2265" s="115"/>
    </row>
    <row r="2266" spans="3:4">
      <c r="C2266" s="115"/>
      <c r="D2266" s="115"/>
    </row>
    <row r="2267" spans="3:4">
      <c r="C2267" s="115"/>
      <c r="D2267" s="115"/>
    </row>
    <row r="2268" spans="3:4">
      <c r="C2268" s="115"/>
      <c r="D2268" s="115"/>
    </row>
    <row r="2269" spans="3:4">
      <c r="C2269" s="115"/>
      <c r="D2269" s="115"/>
    </row>
    <row r="2270" spans="3:4">
      <c r="C2270" s="115"/>
      <c r="D2270" s="115"/>
    </row>
    <row r="2271" spans="3:4">
      <c r="C2271" s="115"/>
      <c r="D2271" s="115"/>
    </row>
    <row r="2272" spans="3:4">
      <c r="C2272" s="115"/>
      <c r="D2272" s="115"/>
    </row>
    <row r="2273" spans="3:4">
      <c r="C2273" s="115"/>
      <c r="D2273" s="115"/>
    </row>
    <row r="2274" spans="3:4">
      <c r="C2274" s="115"/>
      <c r="D2274" s="115"/>
    </row>
    <row r="2275" spans="3:4">
      <c r="C2275" s="115"/>
      <c r="D2275" s="115"/>
    </row>
    <row r="2276" spans="3:4">
      <c r="C2276" s="115"/>
      <c r="D2276" s="115"/>
    </row>
    <row r="2277" spans="3:4">
      <c r="C2277" s="115"/>
      <c r="D2277" s="115"/>
    </row>
    <row r="2278" spans="3:4">
      <c r="C2278" s="115"/>
      <c r="D2278" s="115"/>
    </row>
    <row r="2279" spans="3:4">
      <c r="C2279" s="115"/>
      <c r="D2279" s="115"/>
    </row>
    <row r="2280" spans="3:4">
      <c r="C2280" s="115"/>
      <c r="D2280" s="115"/>
    </row>
    <row r="2281" spans="3:4">
      <c r="C2281" s="115"/>
      <c r="D2281" s="115"/>
    </row>
    <row r="2282" spans="3:4">
      <c r="C2282" s="115"/>
      <c r="D2282" s="115"/>
    </row>
    <row r="2283" spans="3:4">
      <c r="C2283" s="115"/>
      <c r="D2283" s="115"/>
    </row>
    <row r="2284" spans="3:4">
      <c r="C2284" s="115"/>
      <c r="D2284" s="115"/>
    </row>
    <row r="2285" spans="3:4">
      <c r="C2285" s="115"/>
      <c r="D2285" s="115"/>
    </row>
    <row r="2286" spans="3:4">
      <c r="C2286" s="115"/>
      <c r="D2286" s="115"/>
    </row>
    <row r="2287" spans="3:4">
      <c r="C2287" s="115"/>
      <c r="D2287" s="115"/>
    </row>
    <row r="2288" spans="3:4">
      <c r="C2288" s="115"/>
      <c r="D2288" s="115"/>
    </row>
    <row r="2289" spans="3:4">
      <c r="C2289" s="115"/>
      <c r="D2289" s="115"/>
    </row>
    <row r="2290" spans="3:4">
      <c r="C2290" s="115"/>
      <c r="D2290" s="115"/>
    </row>
    <row r="2291" spans="3:4">
      <c r="C2291" s="115"/>
      <c r="D2291" s="115"/>
    </row>
    <row r="2292" spans="3:4">
      <c r="C2292" s="115"/>
      <c r="D2292" s="115"/>
    </row>
    <row r="2293" spans="3:4">
      <c r="C2293" s="115"/>
      <c r="D2293" s="115"/>
    </row>
    <row r="2294" spans="3:4">
      <c r="C2294" s="115"/>
      <c r="D2294" s="115"/>
    </row>
    <row r="2295" spans="3:4">
      <c r="C2295" s="115"/>
      <c r="D2295" s="115"/>
    </row>
    <row r="2296" spans="3:4">
      <c r="C2296" s="115"/>
      <c r="D2296" s="115"/>
    </row>
    <row r="2297" spans="3:4">
      <c r="C2297" s="115"/>
      <c r="D2297" s="115"/>
    </row>
    <row r="2298" spans="3:4">
      <c r="C2298" s="115"/>
      <c r="D2298" s="115"/>
    </row>
    <row r="2299" spans="3:4">
      <c r="C2299" s="115"/>
      <c r="D2299" s="115"/>
    </row>
    <row r="2300" spans="3:4">
      <c r="C2300" s="115"/>
      <c r="D2300" s="115"/>
    </row>
    <row r="2301" spans="3:4">
      <c r="C2301" s="115"/>
      <c r="D2301" s="115"/>
    </row>
    <row r="2302" spans="3:4">
      <c r="C2302" s="115"/>
      <c r="D2302" s="115"/>
    </row>
    <row r="2303" spans="3:4">
      <c r="C2303" s="115"/>
      <c r="D2303" s="115"/>
    </row>
    <row r="2304" spans="3:4">
      <c r="C2304" s="115"/>
      <c r="D2304" s="115"/>
    </row>
    <row r="2305" spans="3:4">
      <c r="C2305" s="115"/>
      <c r="D2305" s="115"/>
    </row>
    <row r="2306" spans="3:4">
      <c r="C2306" s="115"/>
      <c r="D2306" s="115"/>
    </row>
    <row r="2307" spans="3:4">
      <c r="C2307" s="115"/>
      <c r="D2307" s="115"/>
    </row>
    <row r="2308" spans="3:4">
      <c r="C2308" s="115"/>
      <c r="D2308" s="115"/>
    </row>
    <row r="2309" spans="3:4">
      <c r="C2309" s="115"/>
      <c r="D2309" s="115"/>
    </row>
    <row r="2310" spans="3:4">
      <c r="C2310" s="115"/>
      <c r="D2310" s="115"/>
    </row>
    <row r="2311" spans="3:4">
      <c r="C2311" s="115"/>
      <c r="D2311" s="115"/>
    </row>
    <row r="2312" spans="3:4">
      <c r="C2312" s="115"/>
      <c r="D2312" s="115"/>
    </row>
    <row r="2313" spans="3:4">
      <c r="C2313" s="115"/>
      <c r="D2313" s="115"/>
    </row>
    <row r="2314" spans="3:4">
      <c r="C2314" s="115"/>
      <c r="D2314" s="115"/>
    </row>
    <row r="2315" spans="3:4">
      <c r="C2315" s="115"/>
      <c r="D2315" s="115"/>
    </row>
    <row r="2316" spans="3:4">
      <c r="C2316" s="115"/>
      <c r="D2316" s="115"/>
    </row>
    <row r="2317" spans="3:4">
      <c r="C2317" s="115"/>
      <c r="D2317" s="115"/>
    </row>
    <row r="2318" spans="3:4">
      <c r="C2318" s="115"/>
      <c r="D2318" s="115"/>
    </row>
    <row r="2319" spans="3:4">
      <c r="C2319" s="115"/>
      <c r="D2319" s="115"/>
    </row>
    <row r="2320" spans="3:4">
      <c r="C2320" s="115"/>
      <c r="D2320" s="115"/>
    </row>
    <row r="2321" spans="3:4">
      <c r="C2321" s="115"/>
      <c r="D2321" s="115"/>
    </row>
    <row r="2322" spans="3:4">
      <c r="C2322" s="115"/>
      <c r="D2322" s="115"/>
    </row>
    <row r="2323" spans="3:4">
      <c r="C2323" s="115"/>
      <c r="D2323" s="115"/>
    </row>
    <row r="2324" spans="3:4">
      <c r="C2324" s="115"/>
      <c r="D2324" s="115"/>
    </row>
    <row r="2325" spans="3:4">
      <c r="C2325" s="115"/>
      <c r="D2325" s="115"/>
    </row>
    <row r="2326" spans="3:4">
      <c r="C2326" s="115"/>
      <c r="D2326" s="115"/>
    </row>
    <row r="2327" spans="3:4">
      <c r="C2327" s="115"/>
      <c r="D2327" s="115"/>
    </row>
    <row r="2328" spans="3:4">
      <c r="C2328" s="115"/>
      <c r="D2328" s="115"/>
    </row>
    <row r="2329" spans="3:4">
      <c r="C2329" s="115"/>
      <c r="D2329" s="115"/>
    </row>
    <row r="2330" spans="3:4">
      <c r="C2330" s="115"/>
      <c r="D2330" s="115"/>
    </row>
    <row r="2331" spans="3:4">
      <c r="C2331" s="115"/>
      <c r="D2331" s="115"/>
    </row>
    <row r="2332" spans="3:4">
      <c r="C2332" s="115"/>
      <c r="D2332" s="115"/>
    </row>
    <row r="2333" spans="3:4">
      <c r="C2333" s="115"/>
      <c r="D2333" s="115"/>
    </row>
    <row r="2334" spans="3:4">
      <c r="C2334" s="115"/>
      <c r="D2334" s="115"/>
    </row>
    <row r="2335" spans="3:4">
      <c r="C2335" s="115"/>
      <c r="D2335" s="115"/>
    </row>
    <row r="2336" spans="3:4">
      <c r="C2336" s="115"/>
      <c r="D2336" s="115"/>
    </row>
    <row r="2337" spans="3:4">
      <c r="C2337" s="115"/>
      <c r="D2337" s="115"/>
    </row>
    <row r="2338" spans="3:4">
      <c r="C2338" s="115"/>
      <c r="D2338" s="115"/>
    </row>
    <row r="2339" spans="3:4">
      <c r="C2339" s="115"/>
      <c r="D2339" s="115"/>
    </row>
    <row r="2340" spans="3:4">
      <c r="C2340" s="115"/>
      <c r="D2340" s="115"/>
    </row>
    <row r="2341" spans="3:4">
      <c r="C2341" s="115"/>
      <c r="D2341" s="115"/>
    </row>
    <row r="2342" spans="3:4">
      <c r="C2342" s="115"/>
      <c r="D2342" s="115"/>
    </row>
    <row r="2343" spans="3:4">
      <c r="C2343" s="115"/>
      <c r="D2343" s="115"/>
    </row>
    <row r="2344" spans="3:4">
      <c r="C2344" s="115"/>
      <c r="D2344" s="115"/>
    </row>
    <row r="2345" spans="3:4">
      <c r="C2345" s="115"/>
      <c r="D2345" s="115"/>
    </row>
    <row r="2346" spans="3:4">
      <c r="C2346" s="115"/>
      <c r="D2346" s="115"/>
    </row>
    <row r="2347" spans="3:4">
      <c r="C2347" s="115"/>
      <c r="D2347" s="115"/>
    </row>
    <row r="2348" spans="3:4">
      <c r="C2348" s="115"/>
      <c r="D2348" s="115"/>
    </row>
    <row r="2349" spans="3:4">
      <c r="C2349" s="115"/>
      <c r="D2349" s="115"/>
    </row>
    <row r="2350" spans="3:4">
      <c r="C2350" s="115"/>
      <c r="D2350" s="115"/>
    </row>
    <row r="2351" spans="3:4">
      <c r="C2351" s="115"/>
      <c r="D2351" s="115"/>
    </row>
    <row r="2352" spans="3:4">
      <c r="C2352" s="115"/>
      <c r="D2352" s="115"/>
    </row>
    <row r="2353" spans="3:4">
      <c r="C2353" s="115"/>
      <c r="D2353" s="115"/>
    </row>
    <row r="2354" spans="3:4">
      <c r="C2354" s="115"/>
      <c r="D2354" s="115"/>
    </row>
    <row r="2355" spans="3:4">
      <c r="C2355" s="115"/>
      <c r="D2355" s="115"/>
    </row>
    <row r="2356" spans="3:4">
      <c r="C2356" s="115"/>
      <c r="D2356" s="115"/>
    </row>
    <row r="2357" spans="3:4">
      <c r="C2357" s="115"/>
      <c r="D2357" s="115"/>
    </row>
    <row r="2358" spans="3:4">
      <c r="C2358" s="115"/>
      <c r="D2358" s="115"/>
    </row>
    <row r="2359" spans="3:4">
      <c r="C2359" s="115"/>
      <c r="D2359" s="115"/>
    </row>
    <row r="2360" spans="3:4">
      <c r="C2360" s="115"/>
      <c r="D2360" s="115"/>
    </row>
    <row r="2361" spans="3:4">
      <c r="C2361" s="115"/>
      <c r="D2361" s="115"/>
    </row>
    <row r="2362" spans="3:4">
      <c r="C2362" s="115"/>
      <c r="D2362" s="115"/>
    </row>
    <row r="2363" spans="3:4">
      <c r="C2363" s="115"/>
      <c r="D2363" s="115"/>
    </row>
    <row r="2364" spans="3:4">
      <c r="C2364" s="115"/>
      <c r="D2364" s="115"/>
    </row>
    <row r="2365" spans="3:4">
      <c r="C2365" s="115"/>
      <c r="D2365" s="115"/>
    </row>
    <row r="2366" spans="3:4">
      <c r="C2366" s="115"/>
      <c r="D2366" s="115"/>
    </row>
    <row r="2367" spans="3:4">
      <c r="C2367" s="115"/>
      <c r="D2367" s="115"/>
    </row>
    <row r="2368" spans="3:4">
      <c r="C2368" s="115"/>
      <c r="D2368" s="115"/>
    </row>
    <row r="2369" spans="3:4">
      <c r="C2369" s="115"/>
      <c r="D2369" s="115"/>
    </row>
    <row r="2370" spans="3:4">
      <c r="C2370" s="115"/>
      <c r="D2370" s="115"/>
    </row>
    <row r="2371" spans="3:4">
      <c r="C2371" s="115"/>
      <c r="D2371" s="115"/>
    </row>
    <row r="2372" spans="3:4">
      <c r="C2372" s="115"/>
      <c r="D2372" s="115"/>
    </row>
    <row r="2373" spans="3:4">
      <c r="C2373" s="115"/>
      <c r="D2373" s="115"/>
    </row>
    <row r="2374" spans="3:4">
      <c r="C2374" s="115"/>
      <c r="D2374" s="115"/>
    </row>
    <row r="2375" spans="3:4">
      <c r="C2375" s="115"/>
      <c r="D2375" s="115"/>
    </row>
    <row r="2376" spans="3:4">
      <c r="C2376" s="115"/>
      <c r="D2376" s="115"/>
    </row>
    <row r="2377" spans="3:4">
      <c r="C2377" s="115"/>
      <c r="D2377" s="115"/>
    </row>
    <row r="2378" spans="3:4">
      <c r="C2378" s="115"/>
      <c r="D2378" s="115"/>
    </row>
    <row r="2379" spans="3:4">
      <c r="C2379" s="115"/>
      <c r="D2379" s="115"/>
    </row>
    <row r="2380" spans="3:4">
      <c r="C2380" s="115"/>
      <c r="D2380" s="115"/>
    </row>
    <row r="2381" spans="3:4">
      <c r="C2381" s="115"/>
      <c r="D2381" s="115"/>
    </row>
    <row r="2382" spans="3:4">
      <c r="C2382" s="115"/>
      <c r="D2382" s="115"/>
    </row>
    <row r="2383" spans="3:4">
      <c r="C2383" s="115"/>
      <c r="D2383" s="115"/>
    </row>
    <row r="2384" spans="3:4">
      <c r="C2384" s="115"/>
      <c r="D2384" s="115"/>
    </row>
    <row r="2385" spans="3:4">
      <c r="C2385" s="115"/>
      <c r="D2385" s="115"/>
    </row>
    <row r="2386" spans="3:4">
      <c r="C2386" s="115"/>
      <c r="D2386" s="115"/>
    </row>
    <row r="2387" spans="3:4">
      <c r="C2387" s="115"/>
      <c r="D2387" s="115"/>
    </row>
    <row r="2388" spans="3:4">
      <c r="C2388" s="115"/>
      <c r="D2388" s="115"/>
    </row>
    <row r="2389" spans="3:4">
      <c r="C2389" s="115"/>
      <c r="D2389" s="115"/>
    </row>
    <row r="2390" spans="3:4">
      <c r="C2390" s="115"/>
      <c r="D2390" s="115"/>
    </row>
    <row r="2391" spans="3:4">
      <c r="C2391" s="115"/>
      <c r="D2391" s="115"/>
    </row>
    <row r="2392" spans="3:4">
      <c r="C2392" s="115"/>
      <c r="D2392" s="115"/>
    </row>
    <row r="2393" spans="3:4">
      <c r="C2393" s="115"/>
      <c r="D2393" s="115"/>
    </row>
    <row r="2394" spans="3:4">
      <c r="C2394" s="115"/>
      <c r="D2394" s="115"/>
    </row>
    <row r="2395" spans="3:4">
      <c r="C2395" s="115"/>
      <c r="D2395" s="115"/>
    </row>
    <row r="2396" spans="3:4">
      <c r="C2396" s="115"/>
      <c r="D2396" s="115"/>
    </row>
    <row r="2397" spans="3:4">
      <c r="C2397" s="115"/>
      <c r="D2397" s="115"/>
    </row>
    <row r="2398" spans="3:4">
      <c r="C2398" s="115"/>
      <c r="D2398" s="115"/>
    </row>
    <row r="2399" spans="3:4">
      <c r="C2399" s="115"/>
      <c r="D2399" s="115"/>
    </row>
    <row r="2400" spans="3:4">
      <c r="C2400" s="115"/>
      <c r="D2400" s="115"/>
    </row>
    <row r="2401" spans="3:4">
      <c r="C2401" s="115"/>
      <c r="D2401" s="115"/>
    </row>
    <row r="2402" spans="3:4">
      <c r="C2402" s="115"/>
      <c r="D2402" s="115"/>
    </row>
    <row r="2403" spans="3:4">
      <c r="C2403" s="115"/>
      <c r="D2403" s="115"/>
    </row>
    <row r="2404" spans="3:4">
      <c r="C2404" s="115"/>
      <c r="D2404" s="115"/>
    </row>
    <row r="2405" spans="3:4">
      <c r="C2405" s="115"/>
      <c r="D2405" s="115"/>
    </row>
    <row r="2406" spans="3:4">
      <c r="C2406" s="115"/>
      <c r="D2406" s="115"/>
    </row>
    <row r="2407" spans="3:4">
      <c r="C2407" s="115"/>
      <c r="D2407" s="115"/>
    </row>
    <row r="2408" spans="3:4">
      <c r="C2408" s="115"/>
      <c r="D2408" s="115"/>
    </row>
    <row r="2409" spans="3:4">
      <c r="C2409" s="115"/>
      <c r="D2409" s="115"/>
    </row>
    <row r="2410" spans="3:4">
      <c r="C2410" s="115"/>
      <c r="D2410" s="115"/>
    </row>
    <row r="2411" spans="3:4">
      <c r="C2411" s="115"/>
      <c r="D2411" s="115"/>
    </row>
    <row r="2412" spans="3:4">
      <c r="C2412" s="115"/>
      <c r="D2412" s="115"/>
    </row>
    <row r="2413" spans="3:4">
      <c r="C2413" s="115"/>
      <c r="D2413" s="115"/>
    </row>
    <row r="2414" spans="3:4">
      <c r="C2414" s="115"/>
      <c r="D2414" s="115"/>
    </row>
    <row r="2415" spans="3:4">
      <c r="C2415" s="115"/>
      <c r="D2415" s="115"/>
    </row>
    <row r="2416" spans="3:4">
      <c r="C2416" s="115"/>
      <c r="D2416" s="115"/>
    </row>
    <row r="2417" spans="3:4">
      <c r="C2417" s="115"/>
      <c r="D2417" s="115"/>
    </row>
    <row r="2418" spans="3:4">
      <c r="C2418" s="115"/>
      <c r="D2418" s="115"/>
    </row>
    <row r="2419" spans="3:4">
      <c r="C2419" s="115"/>
      <c r="D2419" s="115"/>
    </row>
    <row r="2420" spans="3:4">
      <c r="C2420" s="115"/>
      <c r="D2420" s="115"/>
    </row>
    <row r="2421" spans="3:4">
      <c r="C2421" s="115"/>
      <c r="D2421" s="115"/>
    </row>
    <row r="2422" spans="3:4">
      <c r="C2422" s="115"/>
      <c r="D2422" s="115"/>
    </row>
    <row r="2423" spans="3:4">
      <c r="C2423" s="115"/>
      <c r="D2423" s="115"/>
    </row>
    <row r="2424" spans="3:4">
      <c r="C2424" s="115"/>
      <c r="D2424" s="115"/>
    </row>
    <row r="2425" spans="3:4">
      <c r="C2425" s="115"/>
      <c r="D2425" s="115"/>
    </row>
    <row r="2426" spans="3:4">
      <c r="C2426" s="115"/>
      <c r="D2426" s="115"/>
    </row>
    <row r="2427" spans="3:4">
      <c r="C2427" s="115"/>
      <c r="D2427" s="115"/>
    </row>
    <row r="2428" spans="3:4">
      <c r="C2428" s="115"/>
      <c r="D2428" s="115"/>
    </row>
    <row r="2429" spans="3:4">
      <c r="C2429" s="115"/>
      <c r="D2429" s="115"/>
    </row>
    <row r="2430" spans="3:4">
      <c r="C2430" s="115"/>
      <c r="D2430" s="115"/>
    </row>
    <row r="2431" spans="3:4">
      <c r="C2431" s="115"/>
      <c r="D2431" s="115"/>
    </row>
    <row r="2432" spans="3:4">
      <c r="C2432" s="115"/>
      <c r="D2432" s="115"/>
    </row>
    <row r="2433" spans="3:4">
      <c r="C2433" s="115"/>
      <c r="D2433" s="115"/>
    </row>
    <row r="2434" spans="3:4">
      <c r="C2434" s="115"/>
      <c r="D2434" s="115"/>
    </row>
    <row r="2435" spans="3:4">
      <c r="C2435" s="115"/>
      <c r="D2435" s="115"/>
    </row>
    <row r="2436" spans="3:4">
      <c r="C2436" s="115"/>
      <c r="D2436" s="115"/>
    </row>
    <row r="2437" spans="3:4">
      <c r="C2437" s="115"/>
      <c r="D2437" s="115"/>
    </row>
    <row r="2438" spans="3:4">
      <c r="C2438" s="115"/>
      <c r="D2438" s="115"/>
    </row>
    <row r="2439" spans="3:4">
      <c r="C2439" s="115"/>
      <c r="D2439" s="115"/>
    </row>
    <row r="2440" spans="3:4">
      <c r="C2440" s="115"/>
      <c r="D2440" s="115"/>
    </row>
    <row r="2441" spans="3:4">
      <c r="C2441" s="115"/>
      <c r="D2441" s="115"/>
    </row>
    <row r="2442" spans="3:4">
      <c r="C2442" s="115"/>
      <c r="D2442" s="115"/>
    </row>
    <row r="2443" spans="3:4">
      <c r="C2443" s="115"/>
      <c r="D2443" s="115"/>
    </row>
    <row r="2444" spans="3:4">
      <c r="C2444" s="115"/>
      <c r="D2444" s="115"/>
    </row>
    <row r="2445" spans="3:4">
      <c r="C2445" s="115"/>
      <c r="D2445" s="115"/>
    </row>
    <row r="2446" spans="3:4">
      <c r="C2446" s="115"/>
      <c r="D2446" s="115"/>
    </row>
    <row r="2447" spans="3:4">
      <c r="C2447" s="115"/>
      <c r="D2447" s="115"/>
    </row>
    <row r="2448" spans="3:4">
      <c r="C2448" s="115"/>
      <c r="D2448" s="115"/>
    </row>
    <row r="2449" spans="3:4">
      <c r="C2449" s="115"/>
      <c r="D2449" s="115"/>
    </row>
    <row r="2450" spans="3:4">
      <c r="C2450" s="115"/>
      <c r="D2450" s="115"/>
    </row>
    <row r="2451" spans="3:4">
      <c r="C2451" s="115"/>
      <c r="D2451" s="115"/>
    </row>
    <row r="2452" spans="3:4">
      <c r="C2452" s="115"/>
      <c r="D2452" s="115"/>
    </row>
    <row r="2453" spans="3:4">
      <c r="C2453" s="115"/>
      <c r="D2453" s="115"/>
    </row>
    <row r="2454" spans="3:4">
      <c r="C2454" s="115"/>
      <c r="D2454" s="115"/>
    </row>
    <row r="2455" spans="3:4">
      <c r="C2455" s="115"/>
      <c r="D2455" s="115"/>
    </row>
    <row r="2456" spans="3:4">
      <c r="C2456" s="115"/>
      <c r="D2456" s="115"/>
    </row>
    <row r="2457" spans="3:4">
      <c r="C2457" s="115"/>
      <c r="D2457" s="115"/>
    </row>
    <row r="2458" spans="3:4">
      <c r="C2458" s="115"/>
      <c r="D2458" s="115"/>
    </row>
    <row r="2459" spans="3:4">
      <c r="C2459" s="115"/>
      <c r="D2459" s="115"/>
    </row>
    <row r="2460" spans="3:4">
      <c r="C2460" s="115"/>
      <c r="D2460" s="115"/>
    </row>
    <row r="2461" spans="3:4">
      <c r="C2461" s="115"/>
      <c r="D2461" s="115"/>
    </row>
    <row r="2462" spans="3:4">
      <c r="C2462" s="115"/>
      <c r="D2462" s="115"/>
    </row>
    <row r="2463" spans="3:4">
      <c r="C2463" s="115"/>
      <c r="D2463" s="115"/>
    </row>
    <row r="2464" spans="3:4">
      <c r="C2464" s="115"/>
      <c r="D2464" s="115"/>
    </row>
    <row r="2465" spans="3:4">
      <c r="C2465" s="115"/>
      <c r="D2465" s="115"/>
    </row>
    <row r="2466" spans="3:4">
      <c r="C2466" s="115"/>
      <c r="D2466" s="115"/>
    </row>
    <row r="2467" spans="3:4">
      <c r="C2467" s="115"/>
      <c r="D2467" s="115"/>
    </row>
    <row r="2468" spans="3:4">
      <c r="C2468" s="115"/>
      <c r="D2468" s="115"/>
    </row>
    <row r="2469" spans="3:4">
      <c r="C2469" s="115"/>
      <c r="D2469" s="115"/>
    </row>
    <row r="2470" spans="3:4">
      <c r="C2470" s="115"/>
      <c r="D2470" s="115"/>
    </row>
    <row r="2471" spans="3:4">
      <c r="C2471" s="115"/>
      <c r="D2471" s="115"/>
    </row>
    <row r="2472" spans="3:4">
      <c r="C2472" s="115"/>
      <c r="D2472" s="115"/>
    </row>
    <row r="2473" spans="3:4">
      <c r="C2473" s="115"/>
      <c r="D2473" s="115"/>
    </row>
    <row r="2474" spans="3:4">
      <c r="C2474" s="115"/>
      <c r="D2474" s="115"/>
    </row>
    <row r="2475" spans="3:4">
      <c r="C2475" s="115"/>
      <c r="D2475" s="115"/>
    </row>
    <row r="2476" spans="3:4">
      <c r="C2476" s="115"/>
      <c r="D2476" s="115"/>
    </row>
    <row r="2477" spans="3:4">
      <c r="C2477" s="115"/>
      <c r="D2477" s="115"/>
    </row>
    <row r="2478" spans="3:4">
      <c r="C2478" s="115"/>
      <c r="D2478" s="115"/>
    </row>
    <row r="2479" spans="3:4">
      <c r="C2479" s="115"/>
      <c r="D2479" s="115"/>
    </row>
    <row r="2480" spans="3:4">
      <c r="C2480" s="115"/>
      <c r="D2480" s="115"/>
    </row>
    <row r="2481" spans="3:4">
      <c r="C2481" s="115"/>
      <c r="D2481" s="115"/>
    </row>
    <row r="2482" spans="3:4">
      <c r="C2482" s="115"/>
      <c r="D2482" s="115"/>
    </row>
    <row r="2483" spans="3:4">
      <c r="C2483" s="115"/>
      <c r="D2483" s="115"/>
    </row>
    <row r="2484" spans="3:4">
      <c r="C2484" s="115"/>
      <c r="D2484" s="115"/>
    </row>
    <row r="2485" spans="3:4">
      <c r="C2485" s="115"/>
      <c r="D2485" s="115"/>
    </row>
    <row r="2486" spans="3:4">
      <c r="C2486" s="115"/>
      <c r="D2486" s="115"/>
    </row>
    <row r="2487" spans="3:4">
      <c r="C2487" s="115"/>
      <c r="D2487" s="115"/>
    </row>
    <row r="2488" spans="3:4">
      <c r="C2488" s="115"/>
      <c r="D2488" s="115"/>
    </row>
    <row r="2489" spans="3:4">
      <c r="C2489" s="115"/>
      <c r="D2489" s="115"/>
    </row>
    <row r="2490" spans="3:4">
      <c r="C2490" s="115"/>
      <c r="D2490" s="115"/>
    </row>
    <row r="2491" spans="3:4">
      <c r="C2491" s="115"/>
      <c r="D2491" s="115"/>
    </row>
    <row r="2492" spans="3:4">
      <c r="C2492" s="115"/>
      <c r="D2492" s="115"/>
    </row>
    <row r="2493" spans="3:4">
      <c r="C2493" s="115"/>
      <c r="D2493" s="115"/>
    </row>
    <row r="2494" spans="3:4">
      <c r="C2494" s="115"/>
      <c r="D2494" s="115"/>
    </row>
    <row r="2495" spans="3:4">
      <c r="C2495" s="115"/>
      <c r="D2495" s="115"/>
    </row>
    <row r="2496" spans="3:4">
      <c r="C2496" s="115"/>
      <c r="D2496" s="115"/>
    </row>
    <row r="2497" spans="3:4">
      <c r="C2497" s="115"/>
      <c r="D2497" s="115"/>
    </row>
    <row r="2498" spans="3:4">
      <c r="C2498" s="115"/>
      <c r="D2498" s="115"/>
    </row>
    <row r="2499" spans="3:4">
      <c r="C2499" s="115"/>
      <c r="D2499" s="115"/>
    </row>
    <row r="2500" spans="3:4">
      <c r="C2500" s="115"/>
      <c r="D2500" s="115"/>
    </row>
    <row r="2501" spans="3:4">
      <c r="C2501" s="115"/>
      <c r="D2501" s="115"/>
    </row>
    <row r="2502" spans="3:4">
      <c r="C2502" s="115"/>
      <c r="D2502" s="115"/>
    </row>
    <row r="2503" spans="3:4">
      <c r="C2503" s="115"/>
      <c r="D2503" s="115"/>
    </row>
    <row r="2504" spans="3:4">
      <c r="C2504" s="115"/>
      <c r="D2504" s="115"/>
    </row>
    <row r="2505" spans="3:4">
      <c r="C2505" s="115"/>
      <c r="D2505" s="115"/>
    </row>
    <row r="2506" spans="3:4">
      <c r="C2506" s="115"/>
      <c r="D2506" s="115"/>
    </row>
    <row r="2507" spans="3:4">
      <c r="C2507" s="115"/>
      <c r="D2507" s="115"/>
    </row>
    <row r="2508" spans="3:4">
      <c r="C2508" s="115"/>
      <c r="D2508" s="115"/>
    </row>
    <row r="2509" spans="3:4">
      <c r="C2509" s="115"/>
      <c r="D2509" s="115"/>
    </row>
    <row r="2510" spans="3:4">
      <c r="C2510" s="115"/>
      <c r="D2510" s="115"/>
    </row>
    <row r="2511" spans="3:4">
      <c r="C2511" s="115"/>
      <c r="D2511" s="115"/>
    </row>
    <row r="2512" spans="3:4">
      <c r="C2512" s="115"/>
      <c r="D2512" s="115"/>
    </row>
    <row r="2513" spans="3:4">
      <c r="C2513" s="115"/>
      <c r="D2513" s="115"/>
    </row>
    <row r="2514" spans="3:4">
      <c r="C2514" s="115"/>
      <c r="D2514" s="115"/>
    </row>
    <row r="2515" spans="3:4">
      <c r="C2515" s="115"/>
      <c r="D2515" s="115"/>
    </row>
    <row r="2516" spans="3:4">
      <c r="C2516" s="115"/>
      <c r="D2516" s="115"/>
    </row>
    <row r="2517" spans="3:4">
      <c r="C2517" s="115"/>
      <c r="D2517" s="115"/>
    </row>
    <row r="2518" spans="3:4">
      <c r="C2518" s="115"/>
      <c r="D2518" s="115"/>
    </row>
    <row r="2519" spans="3:4">
      <c r="C2519" s="115"/>
      <c r="D2519" s="115"/>
    </row>
    <row r="2520" spans="3:4">
      <c r="C2520" s="115"/>
      <c r="D2520" s="115"/>
    </row>
    <row r="2521" spans="3:4">
      <c r="C2521" s="115"/>
      <c r="D2521" s="115"/>
    </row>
    <row r="2522" spans="3:4">
      <c r="C2522" s="115"/>
      <c r="D2522" s="115"/>
    </row>
    <row r="2523" spans="3:4">
      <c r="C2523" s="115"/>
      <c r="D2523" s="115"/>
    </row>
    <row r="2524" spans="3:4">
      <c r="C2524" s="115"/>
      <c r="D2524" s="115"/>
    </row>
    <row r="2525" spans="3:4">
      <c r="C2525" s="115"/>
      <c r="D2525" s="115"/>
    </row>
    <row r="2526" spans="3:4">
      <c r="C2526" s="115"/>
      <c r="D2526" s="115"/>
    </row>
    <row r="2527" spans="3:4">
      <c r="C2527" s="115"/>
      <c r="D2527" s="115"/>
    </row>
    <row r="2528" spans="3:4">
      <c r="C2528" s="115"/>
      <c r="D2528" s="115"/>
    </row>
    <row r="2529" spans="3:4">
      <c r="C2529" s="115"/>
      <c r="D2529" s="115"/>
    </row>
    <row r="2530" spans="3:4">
      <c r="C2530" s="115"/>
      <c r="D2530" s="115"/>
    </row>
    <row r="2531" spans="3:4">
      <c r="C2531" s="115"/>
      <c r="D2531" s="115"/>
    </row>
    <row r="2532" spans="3:4">
      <c r="C2532" s="115"/>
      <c r="D2532" s="115"/>
    </row>
    <row r="2533" spans="3:4">
      <c r="C2533" s="115"/>
      <c r="D2533" s="115"/>
    </row>
    <row r="2534" spans="3:4">
      <c r="C2534" s="115"/>
      <c r="D2534" s="115"/>
    </row>
    <row r="2535" spans="3:4">
      <c r="C2535" s="115"/>
      <c r="D2535" s="115"/>
    </row>
    <row r="2536" spans="3:4">
      <c r="C2536" s="115"/>
      <c r="D2536" s="115"/>
    </row>
    <row r="2537" spans="3:4">
      <c r="C2537" s="115"/>
      <c r="D2537" s="115"/>
    </row>
    <row r="2538" spans="3:4">
      <c r="C2538" s="115"/>
      <c r="D2538" s="115"/>
    </row>
    <row r="2539" spans="3:4">
      <c r="C2539" s="115"/>
      <c r="D2539" s="115"/>
    </row>
    <row r="2540" spans="3:4">
      <c r="C2540" s="115"/>
      <c r="D2540" s="115"/>
    </row>
    <row r="2541" spans="3:4">
      <c r="C2541" s="115"/>
      <c r="D2541" s="115"/>
    </row>
  </sheetData>
  <mergeCells count="1">
    <mergeCell ref="S43:T43"/>
  </mergeCells>
  <conditionalFormatting pivot="1" sqref="D11:F16">
    <cfRule type="iconSet" priority="5">
      <iconSet reverse="1">
        <cfvo type="percent" val="0"/>
        <cfvo type="percent" val="0" gte="0"/>
        <cfvo type="percent" val="30"/>
      </iconSet>
    </cfRule>
  </conditionalFormatting>
  <pageMargins left="0.7" right="0.7" top="0.75" bottom="0.75" header="0.3" footer="0.3"/>
  <pageSetup orientation="portrait" r:id="rId28"/>
  <drawing r:id="rId29"/>
  <extLst>
    <ext xmlns:x14="http://schemas.microsoft.com/office/spreadsheetml/2009/9/main" uri="{A8765BA9-456A-4dab-B4F3-ACF838C121DE}">
      <x14:slicerList>
        <x14:slicer r:id="rId30"/>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7:G193"/>
  <sheetViews>
    <sheetView showGridLines="0" zoomScale="80" zoomScaleNormal="80" workbookViewId="0">
      <selection activeCell="C92" sqref="C92"/>
    </sheetView>
  </sheetViews>
  <sheetFormatPr defaultColWidth="9" defaultRowHeight="15.75"/>
  <cols>
    <col min="1" max="1" width="31.875" style="58" bestFit="1" customWidth="1"/>
    <col min="2" max="2" width="14.25" style="58" bestFit="1" customWidth="1"/>
    <col min="3" max="3" width="10.375" style="58" bestFit="1" customWidth="1"/>
    <col min="4" max="4" width="65.75" style="58" hidden="1" customWidth="1"/>
    <col min="5" max="5" width="73.875" style="58" hidden="1" customWidth="1"/>
    <col min="6" max="6" width="86" style="58" hidden="1" customWidth="1"/>
    <col min="7" max="7" width="11" style="58" customWidth="1"/>
    <col min="8" max="16384" width="9" style="58"/>
  </cols>
  <sheetData>
    <row r="27" spans="1:7" hidden="1">
      <c r="A27" s="839" t="s">
        <v>20</v>
      </c>
      <c r="B27" s="840" t="s">
        <v>2388</v>
      </c>
    </row>
    <row r="28" spans="1:7" hidden="1"/>
    <row r="29" spans="1:7" s="98" customFormat="1" ht="31.5" hidden="1">
      <c r="A29" s="881" t="s">
        <v>22</v>
      </c>
      <c r="B29" s="881" t="s">
        <v>23</v>
      </c>
      <c r="C29" s="850" t="s">
        <v>1947</v>
      </c>
      <c r="D29" s="840" t="s">
        <v>2733</v>
      </c>
      <c r="E29" s="840" t="s">
        <v>2732</v>
      </c>
      <c r="F29" s="840" t="s">
        <v>2731</v>
      </c>
      <c r="G29"/>
    </row>
    <row r="30" spans="1:7" hidden="1">
      <c r="A30" s="840" t="s">
        <v>2707</v>
      </c>
      <c r="B30" s="840" t="s">
        <v>361</v>
      </c>
      <c r="C30" s="843">
        <v>979</v>
      </c>
      <c r="D30" s="843">
        <v>979</v>
      </c>
      <c r="E30" s="843">
        <v>979</v>
      </c>
      <c r="F30" s="843">
        <v>979</v>
      </c>
      <c r="G30"/>
    </row>
    <row r="31" spans="1:7" hidden="1">
      <c r="A31" s="840"/>
      <c r="B31" s="840" t="s">
        <v>306</v>
      </c>
      <c r="C31" s="843">
        <v>581</v>
      </c>
      <c r="D31" s="843">
        <v>0</v>
      </c>
      <c r="E31" s="843">
        <v>581</v>
      </c>
      <c r="F31" s="843">
        <v>581</v>
      </c>
      <c r="G31"/>
    </row>
    <row r="32" spans="1:7" hidden="1">
      <c r="A32" s="840"/>
      <c r="B32" s="840" t="s">
        <v>403</v>
      </c>
      <c r="C32" s="843">
        <v>2920</v>
      </c>
      <c r="D32" s="843">
        <v>2920</v>
      </c>
      <c r="E32" s="843">
        <v>2920</v>
      </c>
      <c r="F32" s="843">
        <v>2920</v>
      </c>
      <c r="G32"/>
    </row>
    <row r="33" spans="1:7" hidden="1">
      <c r="A33" s="840"/>
      <c r="B33" s="840" t="s">
        <v>406</v>
      </c>
      <c r="C33" s="843">
        <v>22313</v>
      </c>
      <c r="D33" s="843">
        <v>22313</v>
      </c>
      <c r="E33" s="843">
        <v>15961</v>
      </c>
      <c r="F33" s="843">
        <v>17494.493333333332</v>
      </c>
      <c r="G33"/>
    </row>
    <row r="34" spans="1:7" hidden="1">
      <c r="A34" s="840"/>
      <c r="B34" s="840" t="s">
        <v>299</v>
      </c>
      <c r="C34" s="843">
        <v>92327</v>
      </c>
      <c r="D34" s="843">
        <v>92111</v>
      </c>
      <c r="E34" s="843">
        <v>70207</v>
      </c>
      <c r="F34" s="843">
        <v>92327</v>
      </c>
      <c r="G34"/>
    </row>
    <row r="35" spans="1:7" hidden="1">
      <c r="A35" s="840" t="s">
        <v>2708</v>
      </c>
      <c r="B35" s="840"/>
      <c r="C35" s="843">
        <v>119120</v>
      </c>
      <c r="D35" s="843">
        <v>118323</v>
      </c>
      <c r="E35" s="843">
        <v>90648</v>
      </c>
      <c r="F35" s="843">
        <v>114301.49333333333</v>
      </c>
      <c r="G35"/>
    </row>
    <row r="36" spans="1:7" hidden="1">
      <c r="A36" s="840" t="s">
        <v>1630</v>
      </c>
      <c r="B36" s="840"/>
      <c r="C36" s="843">
        <v>119120</v>
      </c>
      <c r="D36" s="843">
        <v>118323</v>
      </c>
      <c r="E36" s="843">
        <v>90648</v>
      </c>
      <c r="F36" s="843">
        <v>114301.49333333333</v>
      </c>
      <c r="G36"/>
    </row>
    <row r="37" spans="1:7" hidden="1">
      <c r="A37"/>
      <c r="B37"/>
      <c r="C37"/>
      <c r="D37"/>
      <c r="E37"/>
      <c r="F37"/>
      <c r="G37"/>
    </row>
    <row r="38" spans="1:7" hidden="1">
      <c r="A38"/>
      <c r="B38"/>
      <c r="C38"/>
      <c r="D38"/>
      <c r="E38"/>
      <c r="F38"/>
      <c r="G38"/>
    </row>
    <row r="39" spans="1:7" hidden="1">
      <c r="A39"/>
      <c r="B39"/>
      <c r="C39"/>
      <c r="D39"/>
      <c r="E39"/>
      <c r="F39"/>
      <c r="G39"/>
    </row>
    <row r="40" spans="1:7" hidden="1">
      <c r="A40"/>
      <c r="B40"/>
      <c r="C40"/>
      <c r="D40"/>
      <c r="E40"/>
      <c r="F40"/>
      <c r="G40"/>
    </row>
    <row r="41" spans="1:7" hidden="1">
      <c r="A41"/>
      <c r="B41"/>
      <c r="C41"/>
      <c r="D41"/>
      <c r="E41"/>
      <c r="F41"/>
      <c r="G41"/>
    </row>
    <row r="42" spans="1:7" hidden="1">
      <c r="A42"/>
      <c r="B42"/>
      <c r="C42"/>
      <c r="D42"/>
      <c r="E42"/>
      <c r="F42"/>
      <c r="G42"/>
    </row>
    <row r="43" spans="1:7" hidden="1">
      <c r="A43"/>
      <c r="B43"/>
      <c r="C43"/>
      <c r="D43"/>
      <c r="E43"/>
      <c r="F43"/>
      <c r="G43"/>
    </row>
    <row r="44" spans="1:7" hidden="1">
      <c r="A44"/>
      <c r="B44"/>
      <c r="C44"/>
      <c r="D44"/>
      <c r="E44"/>
      <c r="F44"/>
      <c r="G44"/>
    </row>
    <row r="45" spans="1:7" hidden="1">
      <c r="A45"/>
      <c r="B45"/>
      <c r="C45"/>
      <c r="D45"/>
      <c r="E45"/>
      <c r="F45"/>
      <c r="G45"/>
    </row>
    <row r="46" spans="1:7" hidden="1">
      <c r="A46"/>
      <c r="B46"/>
      <c r="C46"/>
      <c r="D46"/>
      <c r="E46"/>
      <c r="F46"/>
      <c r="G46"/>
    </row>
    <row r="47" spans="1:7" hidden="1">
      <c r="A47"/>
      <c r="B47"/>
      <c r="C47"/>
      <c r="D47"/>
      <c r="E47"/>
      <c r="F47"/>
      <c r="G47"/>
    </row>
    <row r="48" spans="1:7" hidden="1">
      <c r="A48"/>
      <c r="B48"/>
      <c r="C48"/>
      <c r="D48"/>
      <c r="E48"/>
      <c r="F48"/>
      <c r="G48"/>
    </row>
    <row r="49" spans="1:7" hidden="1">
      <c r="A49"/>
      <c r="B49"/>
      <c r="C49"/>
      <c r="D49"/>
      <c r="E49"/>
      <c r="F49"/>
      <c r="G49"/>
    </row>
    <row r="50" spans="1:7" hidden="1">
      <c r="A50"/>
      <c r="B50"/>
      <c r="C50"/>
      <c r="D50"/>
      <c r="E50"/>
      <c r="F50"/>
      <c r="G50"/>
    </row>
    <row r="51" spans="1:7" hidden="1">
      <c r="A51"/>
      <c r="B51"/>
      <c r="C51"/>
      <c r="D51"/>
      <c r="E51"/>
      <c r="F51"/>
      <c r="G51"/>
    </row>
    <row r="52" spans="1:7" hidden="1">
      <c r="A52"/>
      <c r="B52"/>
      <c r="C52"/>
      <c r="D52"/>
      <c r="E52"/>
      <c r="F52"/>
      <c r="G52"/>
    </row>
    <row r="53" spans="1:7" hidden="1">
      <c r="A53"/>
      <c r="B53"/>
      <c r="C53"/>
      <c r="D53"/>
      <c r="E53"/>
      <c r="F53"/>
      <c r="G53"/>
    </row>
    <row r="54" spans="1:7" hidden="1">
      <c r="A54"/>
      <c r="B54"/>
      <c r="C54"/>
      <c r="D54"/>
      <c r="E54"/>
      <c r="F54"/>
      <c r="G54"/>
    </row>
    <row r="55" spans="1:7" hidden="1">
      <c r="A55"/>
      <c r="B55"/>
      <c r="C55"/>
      <c r="D55"/>
      <c r="E55"/>
      <c r="F55"/>
      <c r="G55"/>
    </row>
    <row r="56" spans="1:7" hidden="1">
      <c r="A56"/>
      <c r="B56"/>
      <c r="C56"/>
      <c r="D56"/>
      <c r="E56"/>
      <c r="F56"/>
      <c r="G56"/>
    </row>
    <row r="57" spans="1:7" hidden="1">
      <c r="A57"/>
      <c r="B57"/>
      <c r="C57"/>
      <c r="D57"/>
      <c r="E57"/>
      <c r="F57"/>
      <c r="G57"/>
    </row>
    <row r="58" spans="1:7" hidden="1">
      <c r="A58"/>
      <c r="B58"/>
      <c r="C58"/>
      <c r="D58"/>
      <c r="E58"/>
      <c r="F58"/>
      <c r="G58"/>
    </row>
    <row r="59" spans="1:7" hidden="1">
      <c r="A59"/>
      <c r="B59"/>
      <c r="C59"/>
      <c r="D59"/>
      <c r="E59"/>
      <c r="F59"/>
      <c r="G59"/>
    </row>
    <row r="60" spans="1:7" hidden="1">
      <c r="A60"/>
      <c r="B60"/>
      <c r="C60"/>
      <c r="D60"/>
      <c r="E60"/>
      <c r="F60"/>
      <c r="G60"/>
    </row>
    <row r="61" spans="1:7" hidden="1">
      <c r="A61"/>
      <c r="B61"/>
      <c r="C61"/>
      <c r="D61"/>
      <c r="E61"/>
      <c r="F61"/>
      <c r="G61"/>
    </row>
    <row r="62" spans="1:7" hidden="1">
      <c r="A62"/>
      <c r="B62"/>
      <c r="C62"/>
      <c r="D62"/>
      <c r="E62"/>
      <c r="F62"/>
      <c r="G62"/>
    </row>
    <row r="63" spans="1:7" hidden="1">
      <c r="A63"/>
      <c r="B63"/>
      <c r="C63"/>
      <c r="D63"/>
      <c r="E63"/>
      <c r="F63"/>
      <c r="G63"/>
    </row>
    <row r="64" spans="1:7" hidden="1">
      <c r="A64"/>
      <c r="B64"/>
      <c r="C64"/>
      <c r="D64"/>
      <c r="E64"/>
      <c r="F64"/>
      <c r="G64"/>
    </row>
    <row r="65" spans="1:7" hidden="1">
      <c r="A65"/>
      <c r="B65"/>
      <c r="C65"/>
      <c r="D65"/>
      <c r="E65"/>
      <c r="F65"/>
      <c r="G65"/>
    </row>
    <row r="66" spans="1:7" hidden="1">
      <c r="A66"/>
      <c r="B66"/>
      <c r="C66"/>
      <c r="D66"/>
      <c r="E66"/>
      <c r="F66"/>
      <c r="G66"/>
    </row>
    <row r="67" spans="1:7" hidden="1">
      <c r="A67"/>
      <c r="B67"/>
      <c r="C67"/>
      <c r="D67"/>
      <c r="E67"/>
      <c r="F67"/>
      <c r="G67"/>
    </row>
    <row r="68" spans="1:7" hidden="1">
      <c r="A68"/>
      <c r="B68"/>
      <c r="C68"/>
      <c r="D68"/>
      <c r="E68"/>
      <c r="F68"/>
      <c r="G68"/>
    </row>
    <row r="69" spans="1:7" hidden="1">
      <c r="A69"/>
      <c r="B69"/>
      <c r="C69"/>
      <c r="D69"/>
      <c r="E69"/>
      <c r="F69"/>
      <c r="G69"/>
    </row>
    <row r="70" spans="1:7" hidden="1">
      <c r="A70"/>
      <c r="B70"/>
      <c r="C70"/>
      <c r="D70"/>
      <c r="E70"/>
      <c r="F70"/>
      <c r="G70"/>
    </row>
    <row r="71" spans="1:7" hidden="1">
      <c r="A71"/>
      <c r="B71"/>
      <c r="C71"/>
      <c r="D71"/>
      <c r="E71"/>
      <c r="F71"/>
      <c r="G71"/>
    </row>
    <row r="72" spans="1:7" hidden="1">
      <c r="A72"/>
      <c r="B72"/>
      <c r="C72"/>
      <c r="D72"/>
      <c r="E72"/>
      <c r="F72"/>
      <c r="G72"/>
    </row>
    <row r="73" spans="1:7" hidden="1">
      <c r="A73"/>
      <c r="B73"/>
      <c r="C73"/>
      <c r="D73"/>
      <c r="E73"/>
      <c r="F73"/>
      <c r="G73"/>
    </row>
    <row r="74" spans="1:7" hidden="1">
      <c r="A74"/>
      <c r="B74"/>
      <c r="C74"/>
      <c r="D74"/>
      <c r="E74"/>
      <c r="F74"/>
      <c r="G74"/>
    </row>
    <row r="75" spans="1:7" hidden="1">
      <c r="A75"/>
      <c r="B75"/>
      <c r="C75"/>
      <c r="D75"/>
      <c r="E75"/>
      <c r="F75"/>
      <c r="G75"/>
    </row>
    <row r="76" spans="1:7" hidden="1">
      <c r="A76"/>
      <c r="B76"/>
      <c r="C76"/>
      <c r="D76"/>
      <c r="E76"/>
      <c r="F76"/>
      <c r="G76"/>
    </row>
    <row r="77" spans="1:7" hidden="1">
      <c r="A77"/>
      <c r="B77"/>
      <c r="C77"/>
      <c r="D77"/>
      <c r="E77"/>
      <c r="F77"/>
      <c r="G77"/>
    </row>
    <row r="78" spans="1:7" hidden="1">
      <c r="A78"/>
      <c r="B78"/>
      <c r="C78"/>
      <c r="D78"/>
      <c r="E78"/>
      <c r="F78"/>
      <c r="G78"/>
    </row>
    <row r="79" spans="1:7" hidden="1">
      <c r="A79"/>
      <c r="B79"/>
      <c r="C79"/>
      <c r="D79"/>
      <c r="E79"/>
      <c r="F79"/>
      <c r="G79"/>
    </row>
    <row r="80" spans="1:7" hidden="1">
      <c r="A80"/>
      <c r="B80"/>
      <c r="C80"/>
      <c r="D80"/>
      <c r="E80"/>
      <c r="F80"/>
      <c r="G80"/>
    </row>
    <row r="81" spans="1:7" hidden="1">
      <c r="A81"/>
      <c r="B81"/>
      <c r="C81"/>
      <c r="D81"/>
      <c r="E81"/>
      <c r="F81"/>
      <c r="G81"/>
    </row>
    <row r="82" spans="1:7" hidden="1">
      <c r="A82"/>
      <c r="B82"/>
      <c r="C82"/>
      <c r="D82"/>
      <c r="E82"/>
      <c r="F82"/>
      <c r="G82"/>
    </row>
    <row r="83" spans="1:7" hidden="1">
      <c r="A83"/>
      <c r="B83"/>
      <c r="C83"/>
      <c r="D83"/>
      <c r="E83"/>
      <c r="F83"/>
      <c r="G83"/>
    </row>
    <row r="84" spans="1:7" hidden="1">
      <c r="A84"/>
      <c r="B84"/>
      <c r="C84"/>
      <c r="D84"/>
      <c r="E84"/>
      <c r="F84"/>
      <c r="G84"/>
    </row>
    <row r="85" spans="1:7" hidden="1">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hidden="1">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153"/>
  <sheetViews>
    <sheetView showGridLines="0" tabSelected="1" view="pageBreakPreview" topLeftCell="A89" zoomScale="93" zoomScaleNormal="60" zoomScaleSheetLayoutView="93" zoomScalePageLayoutView="80" workbookViewId="0">
      <selection activeCell="G120" sqref="G120"/>
    </sheetView>
  </sheetViews>
  <sheetFormatPr defaultColWidth="9" defaultRowHeight="12.75"/>
  <cols>
    <col min="1" max="1" width="1.375" style="17" customWidth="1"/>
    <col min="2" max="2" width="13.25" style="17" customWidth="1"/>
    <col min="3" max="3" width="26.375" style="17" customWidth="1"/>
    <col min="4" max="4" width="11.25" style="17" customWidth="1"/>
    <col min="5" max="5" width="13" style="17" customWidth="1"/>
    <col min="6" max="6" width="14.375" style="17" customWidth="1"/>
    <col min="7" max="7" width="12.5" style="17" customWidth="1"/>
    <col min="8" max="8" width="3.5" style="17" customWidth="1"/>
    <col min="9" max="10" width="9" style="17"/>
    <col min="11" max="11" width="8" style="17" customWidth="1"/>
    <col min="12" max="12" width="18" style="17" customWidth="1"/>
    <col min="13" max="13" width="8" style="17" customWidth="1"/>
    <col min="14" max="14" width="14.875" style="17" customWidth="1"/>
    <col min="15" max="15" width="10.75" style="17" customWidth="1"/>
    <col min="16" max="16" width="8" style="17" customWidth="1"/>
    <col min="17" max="18" width="9" style="17"/>
    <col min="19" max="19" width="12" style="17" customWidth="1"/>
    <col min="20" max="20" width="1" style="17" customWidth="1"/>
    <col min="21" max="21" width="2.375" style="17" customWidth="1"/>
    <col min="22" max="22" width="8.125" style="17" customWidth="1"/>
    <col min="23" max="23" width="30.875" style="17" customWidth="1"/>
    <col min="24" max="24" width="8.125" style="17" customWidth="1"/>
    <col min="25" max="25" width="3.875" style="17" customWidth="1"/>
    <col min="26" max="26" width="16.125" style="17" bestFit="1" customWidth="1"/>
    <col min="27" max="27" width="9" style="17"/>
    <col min="28" max="28" width="21.75" style="17" bestFit="1" customWidth="1"/>
    <col min="29" max="29" width="13.25" style="17" customWidth="1"/>
    <col min="30" max="16384" width="9" style="17"/>
  </cols>
  <sheetData>
    <row r="1" spans="1:30" ht="45.75" customHeight="1">
      <c r="A1" s="507"/>
      <c r="B1" s="952" t="s">
        <v>3184</v>
      </c>
      <c r="C1" s="952"/>
      <c r="D1" s="952"/>
      <c r="E1" s="952"/>
      <c r="F1" s="952"/>
      <c r="G1" s="952"/>
      <c r="H1" s="952"/>
      <c r="I1" s="952"/>
      <c r="J1" s="952"/>
      <c r="K1" s="952"/>
      <c r="L1" s="952"/>
      <c r="M1" s="952"/>
      <c r="N1" s="952"/>
      <c r="O1" s="952"/>
      <c r="P1" s="952"/>
      <c r="Q1" s="952"/>
      <c r="R1" s="952"/>
      <c r="S1" s="952"/>
      <c r="T1" s="952"/>
      <c r="U1" s="952"/>
      <c r="V1" s="181"/>
      <c r="W1" s="181"/>
      <c r="X1" s="181"/>
      <c r="Y1" s="181"/>
      <c r="Z1" s="181"/>
      <c r="AA1" s="181"/>
      <c r="AB1" s="181"/>
      <c r="AC1" s="181"/>
    </row>
    <row r="8" spans="1:30">
      <c r="AD8" s="17" t="s">
        <v>1945</v>
      </c>
    </row>
    <row r="41" ht="15" customHeight="1"/>
    <row r="43" ht="18" customHeight="1"/>
    <row r="44" ht="24.75" customHeight="1"/>
    <row r="50" spans="2:26" ht="15.75">
      <c r="V50"/>
    </row>
    <row r="51" spans="2:26" ht="15.75">
      <c r="V51" s="533"/>
      <c r="W51" s="533"/>
    </row>
    <row r="52" spans="2:26" ht="15.75">
      <c r="V52" s="533"/>
      <c r="W52" s="533"/>
    </row>
    <row r="53" spans="2:26" ht="15.75">
      <c r="V53" s="533"/>
      <c r="W53" s="533"/>
    </row>
    <row r="54" spans="2:26" ht="15.75">
      <c r="V54" s="533"/>
      <c r="W54" s="533"/>
    </row>
    <row r="57" spans="2:26" ht="15.75">
      <c r="X57"/>
      <c r="Y57"/>
    </row>
    <row r="58" spans="2:26" ht="21.75" customHeight="1">
      <c r="B58" s="814"/>
      <c r="C58" s="814"/>
      <c r="D58" s="814"/>
      <c r="E58" s="814"/>
      <c r="F58" s="814"/>
      <c r="G58" s="814"/>
      <c r="V58" s="191"/>
      <c r="W58"/>
      <c r="X58"/>
      <c r="Y58"/>
      <c r="Z58"/>
    </row>
    <row r="59" spans="2:26" ht="15.75">
      <c r="V59" s="191"/>
      <c r="W59" s="415"/>
      <c r="X59" s="415"/>
      <c r="Y59" s="415"/>
      <c r="Z59"/>
    </row>
    <row r="60" spans="2:26" ht="15.75">
      <c r="V60" s="533"/>
      <c r="W60" s="533"/>
      <c r="Y60" s="415"/>
      <c r="Z60"/>
    </row>
    <row r="61" spans="2:26" ht="15.75">
      <c r="N61" s="96"/>
      <c r="O61" s="96"/>
      <c r="P61" s="96"/>
      <c r="Q61" s="96"/>
      <c r="R61" s="96"/>
      <c r="S61" s="96"/>
      <c r="T61" s="96"/>
      <c r="U61" s="96"/>
      <c r="V61" s="533"/>
      <c r="W61" s="533"/>
      <c r="Y61" s="415"/>
      <c r="Z61"/>
    </row>
    <row r="62" spans="2:26" ht="45">
      <c r="B62" s="815" t="s">
        <v>2126</v>
      </c>
      <c r="C62" s="816" t="s">
        <v>1918</v>
      </c>
      <c r="D62" s="817" t="s">
        <v>1896</v>
      </c>
      <c r="E62" s="817" t="s">
        <v>1919</v>
      </c>
      <c r="F62" s="817" t="s">
        <v>1920</v>
      </c>
      <c r="G62" s="818" t="s">
        <v>1921</v>
      </c>
      <c r="N62" s="96"/>
      <c r="O62" s="96"/>
      <c r="P62" s="96"/>
      <c r="Q62" s="96"/>
      <c r="R62" s="96"/>
      <c r="S62" s="96"/>
      <c r="T62" s="96"/>
      <c r="U62" s="96"/>
      <c r="V62" s="533"/>
      <c r="W62" s="533"/>
      <c r="Y62" s="415"/>
      <c r="Z62"/>
    </row>
    <row r="63" spans="2:26" ht="15.75">
      <c r="B63" s="800" t="s">
        <v>361</v>
      </c>
      <c r="C63" s="801" t="s">
        <v>2295</v>
      </c>
      <c r="D63" s="802">
        <v>979</v>
      </c>
      <c r="E63" s="803">
        <v>0</v>
      </c>
      <c r="F63" s="803">
        <v>0</v>
      </c>
      <c r="G63" s="803">
        <v>0</v>
      </c>
      <c r="N63" s="96"/>
      <c r="O63" s="96"/>
      <c r="P63" s="96"/>
      <c r="Q63" s="96"/>
      <c r="R63" s="96"/>
      <c r="S63" s="96"/>
      <c r="T63" s="96"/>
      <c r="U63" s="96"/>
      <c r="V63" s="533"/>
      <c r="W63" s="533"/>
      <c r="Y63" s="415"/>
      <c r="Z63"/>
    </row>
    <row r="64" spans="2:26" ht="15.75">
      <c r="B64" s="800" t="s">
        <v>306</v>
      </c>
      <c r="C64" s="801" t="s">
        <v>297</v>
      </c>
      <c r="D64" s="802">
        <v>581</v>
      </c>
      <c r="E64" s="803">
        <v>0</v>
      </c>
      <c r="F64" s="803">
        <v>0</v>
      </c>
      <c r="G64" s="804">
        <v>1</v>
      </c>
      <c r="N64" s="96"/>
      <c r="O64" s="96"/>
      <c r="P64" s="96"/>
      <c r="Q64" s="96"/>
      <c r="R64" s="96"/>
      <c r="S64" s="96"/>
      <c r="T64" s="96"/>
      <c r="U64" s="96"/>
      <c r="V64" s="533"/>
      <c r="W64" s="533"/>
      <c r="Y64" s="415"/>
      <c r="Z64"/>
    </row>
    <row r="65" spans="2:26" ht="23.25" customHeight="1">
      <c r="B65" s="800" t="s">
        <v>403</v>
      </c>
      <c r="C65" s="801" t="s">
        <v>402</v>
      </c>
      <c r="D65" s="802">
        <v>2920</v>
      </c>
      <c r="E65" s="803">
        <v>0</v>
      </c>
      <c r="F65" s="803">
        <v>0</v>
      </c>
      <c r="G65" s="804">
        <v>0</v>
      </c>
      <c r="N65" s="96"/>
      <c r="O65" s="96"/>
      <c r="P65" s="96"/>
      <c r="Q65" s="96"/>
      <c r="R65" s="96"/>
      <c r="S65" s="96"/>
      <c r="T65" s="96"/>
      <c r="U65" s="96"/>
      <c r="V65" s="533"/>
      <c r="W65" s="533"/>
      <c r="Y65" s="415"/>
      <c r="Z65"/>
    </row>
    <row r="66" spans="2:26" ht="15.75">
      <c r="B66" s="800" t="s">
        <v>406</v>
      </c>
      <c r="C66" s="801" t="s">
        <v>2773</v>
      </c>
      <c r="D66" s="802">
        <v>22313</v>
      </c>
      <c r="E66" s="803">
        <v>0.21595064162894584</v>
      </c>
      <c r="F66" s="803">
        <v>0.30484470936225516</v>
      </c>
      <c r="G66" s="803">
        <v>0</v>
      </c>
      <c r="V66" s="533"/>
      <c r="W66" s="533"/>
      <c r="Y66" s="415"/>
      <c r="Z66"/>
    </row>
    <row r="67" spans="2:26" ht="16.5" thickBot="1">
      <c r="B67" s="805" t="s">
        <v>299</v>
      </c>
      <c r="C67" s="806" t="s">
        <v>3154</v>
      </c>
      <c r="D67" s="807">
        <v>92327</v>
      </c>
      <c r="E67" s="808">
        <v>1.9322625017600514E-2</v>
      </c>
      <c r="F67" s="808">
        <v>0.30439633043421754</v>
      </c>
      <c r="G67" s="809">
        <v>2.33951065235527E-3</v>
      </c>
      <c r="V67" s="533"/>
      <c r="W67" s="533"/>
      <c r="Y67" s="415"/>
      <c r="Z67"/>
    </row>
    <row r="68" spans="2:26" ht="26.25" customHeight="1" thickTop="1">
      <c r="B68" s="810" t="s">
        <v>1897</v>
      </c>
      <c r="C68" s="811" t="s">
        <v>1927</v>
      </c>
      <c r="D68" s="812">
        <v>119120</v>
      </c>
      <c r="E68" s="813">
        <v>5.5427356167450204E-2</v>
      </c>
      <c r="F68" s="813">
        <v>0.29303223640026865</v>
      </c>
      <c r="G68" s="813">
        <v>6.6907320349227639E-3</v>
      </c>
      <c r="V68" s="533"/>
      <c r="W68" s="533"/>
      <c r="X68" s="415"/>
      <c r="Y68" s="415"/>
      <c r="Z68"/>
    </row>
    <row r="69" spans="2:26" ht="26.25" customHeight="1">
      <c r="V69" s="533"/>
      <c r="W69" s="533"/>
      <c r="X69" s="415"/>
      <c r="Y69" s="415"/>
      <c r="Z69"/>
    </row>
    <row r="70" spans="2:26" ht="15.75">
      <c r="V70" s="533"/>
      <c r="W70" s="533"/>
      <c r="X70" s="415"/>
      <c r="Y70" s="415"/>
      <c r="Z70"/>
    </row>
    <row r="71" spans="2:26" ht="15.75">
      <c r="V71" s="533"/>
      <c r="W71" s="533"/>
      <c r="X71" s="415"/>
      <c r="Y71" s="415"/>
      <c r="Z71"/>
    </row>
    <row r="72" spans="2:26" ht="15.75">
      <c r="W72" s="415"/>
      <c r="X72" s="415"/>
      <c r="Y72" s="415"/>
      <c r="Z72"/>
    </row>
    <row r="73" spans="2:26" ht="15.75">
      <c r="W73" s="415"/>
      <c r="X73" s="415"/>
      <c r="Y73" s="415"/>
      <c r="Z73"/>
    </row>
    <row r="74" spans="2:26" ht="15.75">
      <c r="V74" s="415"/>
      <c r="W74" s="415"/>
      <c r="X74" s="415"/>
      <c r="Y74" s="415"/>
      <c r="Z74" s="415"/>
    </row>
    <row r="75" spans="2:26" ht="15.75">
      <c r="V75" s="415"/>
      <c r="W75" s="415"/>
      <c r="X75" s="415"/>
      <c r="Y75" s="415"/>
      <c r="Z75" s="415"/>
    </row>
    <row r="76" spans="2:26" ht="15.75">
      <c r="V76" s="415"/>
      <c r="W76" s="415"/>
      <c r="X76" s="415"/>
      <c r="Y76" s="415"/>
      <c r="Z76" s="415"/>
    </row>
    <row r="77" spans="2:26" ht="15.75">
      <c r="V77" s="415"/>
      <c r="W77" s="415"/>
      <c r="X77" s="415"/>
      <c r="Y77" s="415"/>
      <c r="Z77" s="415"/>
    </row>
    <row r="78" spans="2:26" ht="15.75">
      <c r="V78" s="415"/>
      <c r="W78" s="415"/>
      <c r="X78" s="415"/>
      <c r="Y78" s="415"/>
      <c r="Z78" s="415"/>
    </row>
    <row r="79" spans="2:26" ht="15.75">
      <c r="V79" s="415"/>
      <c r="W79" s="415"/>
      <c r="X79" s="415"/>
      <c r="Y79" s="415"/>
      <c r="Z79" s="415"/>
    </row>
    <row r="80" spans="2:26" ht="15.75">
      <c r="V80" s="415"/>
      <c r="W80" s="415"/>
      <c r="X80" s="415"/>
      <c r="Y80" s="415"/>
      <c r="Z80" s="415"/>
    </row>
    <row r="81" spans="22:26" ht="15.75">
      <c r="V81" s="415"/>
      <c r="W81" s="415"/>
      <c r="X81" s="415"/>
      <c r="Y81" s="415"/>
      <c r="Z81" s="415"/>
    </row>
    <row r="82" spans="22:26" ht="15.75">
      <c r="V82" s="415"/>
      <c r="W82" s="415"/>
      <c r="X82" s="415"/>
      <c r="Y82" s="415"/>
      <c r="Z82" s="415"/>
    </row>
    <row r="83" spans="22:26" ht="15.75">
      <c r="V83" s="415"/>
      <c r="W83" s="415"/>
      <c r="X83" s="415"/>
      <c r="Y83" s="415"/>
      <c r="Z83" s="415"/>
    </row>
    <row r="84" spans="22:26" ht="15.75">
      <c r="V84" s="415"/>
      <c r="W84" s="415"/>
      <c r="X84" s="415"/>
      <c r="Y84" s="415"/>
      <c r="Z84" s="415"/>
    </row>
    <row r="85" spans="22:26" ht="15.75">
      <c r="V85" s="415"/>
      <c r="W85" s="415"/>
      <c r="X85" s="415"/>
      <c r="Y85" s="415"/>
      <c r="Z85" s="415"/>
    </row>
    <row r="86" spans="22:26" ht="15.75">
      <c r="V86" s="415"/>
      <c r="W86" s="415"/>
      <c r="X86" s="415"/>
      <c r="Y86" s="415"/>
      <c r="Z86" s="415"/>
    </row>
    <row r="87" spans="22:26" ht="15.75">
      <c r="V87" s="415"/>
      <c r="W87" s="415"/>
      <c r="X87" s="415"/>
      <c r="Y87" s="415"/>
      <c r="Z87" s="415"/>
    </row>
    <row r="88" spans="22:26" ht="15.75">
      <c r="V88" s="415"/>
      <c r="W88" s="415"/>
      <c r="X88" s="415"/>
      <c r="Y88" s="415"/>
      <c r="Z88" s="415"/>
    </row>
    <row r="89" spans="22:26" ht="15.75">
      <c r="V89" s="415"/>
      <c r="W89" s="415"/>
      <c r="X89" s="415"/>
      <c r="Y89" s="415"/>
      <c r="Z89" s="415"/>
    </row>
    <row r="90" spans="22:26" ht="15.75">
      <c r="V90" s="415"/>
      <c r="W90" s="415"/>
      <c r="X90" s="415"/>
      <c r="Y90" s="415"/>
      <c r="Z90" s="415"/>
    </row>
    <row r="91" spans="22:26" ht="15.75">
      <c r="V91" s="415"/>
      <c r="W91" s="415"/>
      <c r="X91" s="415"/>
      <c r="Y91" s="415"/>
      <c r="Z91" s="415"/>
    </row>
    <row r="92" spans="22:26" ht="15.75">
      <c r="V92" s="415"/>
      <c r="W92" s="415"/>
      <c r="X92" s="415"/>
      <c r="Y92" s="415"/>
      <c r="Z92" s="415"/>
    </row>
    <row r="93" spans="22:26" ht="15.75">
      <c r="V93" s="415"/>
      <c r="W93" s="415"/>
      <c r="X93" s="415"/>
      <c r="Y93" s="415"/>
      <c r="Z93" s="415"/>
    </row>
    <row r="94" spans="22:26" ht="15.75">
      <c r="V94" s="415"/>
      <c r="W94" s="415"/>
      <c r="X94" s="415"/>
      <c r="Y94" s="415"/>
      <c r="Z94" s="415"/>
    </row>
    <row r="95" spans="22:26" ht="15.75">
      <c r="V95" s="415"/>
      <c r="W95" s="415"/>
      <c r="X95" s="415"/>
      <c r="Y95" s="415"/>
      <c r="Z95" s="415"/>
    </row>
    <row r="96" spans="22:26" ht="15.75">
      <c r="V96" s="415"/>
      <c r="W96" s="415"/>
      <c r="X96" s="415"/>
      <c r="Y96" s="415"/>
      <c r="Z96" s="415"/>
    </row>
    <row r="97" spans="2:26" ht="15.75">
      <c r="V97" s="415"/>
      <c r="W97" s="415"/>
      <c r="X97" s="415"/>
      <c r="Y97" s="415"/>
      <c r="Z97" s="415"/>
    </row>
    <row r="98" spans="2:26" ht="15.75">
      <c r="V98" s="415"/>
      <c r="W98" s="415"/>
      <c r="X98" s="415"/>
      <c r="Y98" s="415"/>
      <c r="Z98" s="415"/>
    </row>
    <row r="99" spans="2:26" ht="15.75">
      <c r="V99" s="415"/>
      <c r="W99" s="415"/>
      <c r="X99" s="415"/>
      <c r="Y99" s="415"/>
      <c r="Z99" s="415"/>
    </row>
    <row r="100" spans="2:26" ht="15.75">
      <c r="V100" s="415"/>
      <c r="W100" s="415"/>
      <c r="X100" s="415"/>
      <c r="Y100" s="415"/>
      <c r="Z100" s="415"/>
    </row>
    <row r="101" spans="2:26" ht="15.75">
      <c r="B101" s="955" t="s">
        <v>3185</v>
      </c>
      <c r="V101" s="415"/>
      <c r="W101" s="415"/>
      <c r="X101" s="415"/>
      <c r="Y101" s="415"/>
      <c r="Z101" s="415"/>
    </row>
    <row r="102" spans="2:26" ht="15.75">
      <c r="V102" s="415"/>
      <c r="W102" s="415"/>
      <c r="X102" s="415"/>
      <c r="Y102" s="415"/>
      <c r="Z102" s="415"/>
    </row>
    <row r="103" spans="2:26" ht="15.75">
      <c r="V103" s="415"/>
      <c r="W103" s="415"/>
      <c r="X103" s="415"/>
      <c r="Y103" s="415"/>
      <c r="Z103" s="415"/>
    </row>
    <row r="104" spans="2:26" ht="15.75">
      <c r="V104" s="415"/>
      <c r="W104" s="415"/>
      <c r="X104" s="415"/>
      <c r="Y104" s="415"/>
      <c r="Z104" s="415"/>
    </row>
    <row r="105" spans="2:26" ht="15.75">
      <c r="V105" s="415"/>
      <c r="W105" s="415"/>
      <c r="X105" s="415"/>
      <c r="Y105" s="415"/>
      <c r="Z105" s="415"/>
    </row>
    <row r="106" spans="2:26" ht="15.75">
      <c r="V106" s="415"/>
      <c r="W106" s="415"/>
      <c r="X106" s="415"/>
      <c r="Y106" s="415"/>
      <c r="Z106" s="415"/>
    </row>
    <row r="107" spans="2:26" ht="15.75">
      <c r="V107" s="415"/>
      <c r="W107" s="415"/>
      <c r="X107" s="415"/>
      <c r="Y107" s="415"/>
      <c r="Z107" s="415"/>
    </row>
    <row r="108" spans="2:26" ht="15.75">
      <c r="V108" s="415"/>
      <c r="W108" s="415"/>
      <c r="X108" s="415"/>
      <c r="Y108" s="415"/>
      <c r="Z108" s="415"/>
    </row>
    <row r="109" spans="2:26" ht="15.75">
      <c r="V109" s="415"/>
      <c r="W109" s="415"/>
      <c r="X109" s="415"/>
      <c r="Y109" s="415"/>
      <c r="Z109" s="415"/>
    </row>
    <row r="110" spans="2:26" ht="15.75">
      <c r="V110" s="415"/>
      <c r="W110" s="415"/>
      <c r="X110" s="415"/>
      <c r="Y110" s="415"/>
      <c r="Z110" s="415"/>
    </row>
    <row r="111" spans="2:26" ht="15.75">
      <c r="V111" s="415"/>
      <c r="W111" s="415"/>
      <c r="X111" s="415"/>
      <c r="Y111" s="415"/>
      <c r="Z111" s="415"/>
    </row>
    <row r="112" spans="2:26" ht="15.75">
      <c r="V112" s="415"/>
      <c r="W112" s="415"/>
      <c r="X112" s="415"/>
      <c r="Y112" s="415"/>
      <c r="Z112" s="415"/>
    </row>
    <row r="113" spans="22:26" ht="15.75">
      <c r="V113" s="415"/>
      <c r="W113" s="415"/>
      <c r="X113" s="415"/>
      <c r="Y113" s="415"/>
      <c r="Z113" s="415"/>
    </row>
    <row r="114" spans="22:26" ht="15.75">
      <c r="V114" s="415"/>
      <c r="W114" s="415"/>
      <c r="X114" s="415"/>
      <c r="Y114" s="415"/>
      <c r="Z114" s="415"/>
    </row>
    <row r="115" spans="22:26" ht="15.75">
      <c r="V115" s="415"/>
      <c r="W115" s="415"/>
      <c r="X115" s="415"/>
      <c r="Y115" s="415"/>
      <c r="Z115" s="415"/>
    </row>
    <row r="116" spans="22:26" ht="15.75">
      <c r="V116" s="415"/>
      <c r="W116" s="415"/>
      <c r="X116" s="415"/>
      <c r="Y116" s="415"/>
      <c r="Z116" s="415"/>
    </row>
    <row r="117" spans="22:26" ht="15.75">
      <c r="V117" s="415"/>
      <c r="W117" s="415"/>
      <c r="X117" s="415"/>
      <c r="Y117" s="415"/>
      <c r="Z117" s="415"/>
    </row>
    <row r="118" spans="22:26" ht="15.75">
      <c r="V118" s="415"/>
      <c r="W118" s="415"/>
      <c r="X118" s="415"/>
      <c r="Y118" s="415"/>
      <c r="Z118" s="415"/>
    </row>
    <row r="119" spans="22:26" ht="15.75">
      <c r="V119" s="415"/>
      <c r="W119" s="415"/>
      <c r="X119" s="415"/>
      <c r="Y119" s="415"/>
      <c r="Z119" s="415"/>
    </row>
    <row r="120" spans="22:26" ht="15.75">
      <c r="X120"/>
      <c r="Y120"/>
    </row>
    <row r="121" spans="22:26" ht="15.75">
      <c r="X121"/>
      <c r="Y121"/>
    </row>
    <row r="122" spans="22:26" ht="15.75">
      <c r="X122"/>
      <c r="Y122"/>
    </row>
    <row r="123" spans="22:26" ht="15.75">
      <c r="X123"/>
      <c r="Y123"/>
    </row>
    <row r="124" spans="22:26" ht="15.75">
      <c r="X124"/>
      <c r="Y124"/>
    </row>
    <row r="125" spans="22:26" ht="15.75">
      <c r="X125"/>
      <c r="Y125"/>
    </row>
    <row r="126" spans="22:26" ht="15.75">
      <c r="X126"/>
      <c r="Y126"/>
    </row>
    <row r="127" spans="22:26" ht="15.75">
      <c r="X127"/>
      <c r="Y127"/>
    </row>
    <row r="128" spans="22:26" ht="15.75">
      <c r="X128"/>
      <c r="Y128"/>
    </row>
    <row r="129" spans="24:25" ht="15.75">
      <c r="X129"/>
      <c r="Y129"/>
    </row>
    <row r="130" spans="24:25" ht="15.75">
      <c r="X130"/>
      <c r="Y130"/>
    </row>
    <row r="131" spans="24:25" ht="15.75">
      <c r="X131"/>
      <c r="Y131"/>
    </row>
    <row r="132" spans="24:25" ht="15.75">
      <c r="X132"/>
      <c r="Y132"/>
    </row>
    <row r="133" spans="24:25" ht="15.75">
      <c r="X133"/>
      <c r="Y133"/>
    </row>
    <row r="134" spans="24:25" ht="15.75">
      <c r="X134"/>
      <c r="Y134"/>
    </row>
    <row r="135" spans="24:25" ht="15.75">
      <c r="X135"/>
      <c r="Y135"/>
    </row>
    <row r="136" spans="24:25" ht="15.75">
      <c r="X136"/>
      <c r="Y136"/>
    </row>
    <row r="137" spans="24:25" ht="15.75">
      <c r="X137"/>
      <c r="Y137"/>
    </row>
    <row r="138" spans="24:25" ht="15.75">
      <c r="X138"/>
      <c r="Y138"/>
    </row>
    <row r="139" spans="24:25" ht="15.75">
      <c r="X139"/>
      <c r="Y139"/>
    </row>
    <row r="140" spans="24:25" ht="15.75">
      <c r="X140"/>
      <c r="Y140"/>
    </row>
    <row r="141" spans="24:25" ht="15.75">
      <c r="X141"/>
      <c r="Y141"/>
    </row>
    <row r="142" spans="24:25" ht="15.75">
      <c r="X142"/>
      <c r="Y142"/>
    </row>
    <row r="143" spans="24:25" ht="15.75">
      <c r="X143"/>
      <c r="Y143"/>
    </row>
    <row r="144" spans="24:25" ht="15.75">
      <c r="X144"/>
      <c r="Y144"/>
    </row>
    <row r="145" spans="24:25" ht="15.75">
      <c r="X145"/>
      <c r="Y145"/>
    </row>
    <row r="146" spans="24:25" ht="15.75">
      <c r="X146"/>
      <c r="Y146"/>
    </row>
    <row r="147" spans="24:25" ht="15.75">
      <c r="X147"/>
      <c r="Y147"/>
    </row>
    <row r="148" spans="24:25" ht="15.75">
      <c r="X148"/>
      <c r="Y148"/>
    </row>
    <row r="149" spans="24:25" ht="15.75">
      <c r="X149"/>
      <c r="Y149"/>
    </row>
    <row r="150" spans="24:25" ht="15.75">
      <c r="X150"/>
      <c r="Y150"/>
    </row>
    <row r="151" spans="24:25" ht="15.75">
      <c r="X151"/>
      <c r="Y151"/>
    </row>
    <row r="152" spans="24:25" ht="15.75">
      <c r="X152"/>
      <c r="Y152"/>
    </row>
    <row r="153" spans="24:25" ht="15.75">
      <c r="X153"/>
      <c r="Y153"/>
    </row>
  </sheetData>
  <mergeCells count="1">
    <mergeCell ref="B1:U1"/>
  </mergeCells>
  <conditionalFormatting sqref="E63:G68">
    <cfRule type="iconSet" priority="2">
      <iconSet reverse="1">
        <cfvo type="percent" val="0"/>
        <cfvo type="percent" val="0" gte="0"/>
        <cfvo type="percent" val="30"/>
      </iconSet>
    </cfRule>
  </conditionalFormatting>
  <conditionalFormatting sqref="G63">
    <cfRule type="iconSet" priority="1">
      <iconSet reverse="1">
        <cfvo type="percent" val="0"/>
        <cfvo type="percent" val="0" gte="0"/>
        <cfvo type="percent" val="30"/>
      </iconSet>
    </cfRule>
  </conditionalFormatting>
  <printOptions horizontalCentered="1" verticalCentered="1"/>
  <pageMargins left="0" right="0" top="0" bottom="0" header="0.3" footer="0.3"/>
  <pageSetup paperSize="9" scale="46"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A48A8-246D-4403-9A0C-C6340D03BBE5}">
  <dimension ref="A2:B17"/>
  <sheetViews>
    <sheetView showGridLines="0" workbookViewId="0">
      <selection activeCell="F12" sqref="F12"/>
    </sheetView>
  </sheetViews>
  <sheetFormatPr defaultColWidth="9" defaultRowHeight="15.75"/>
  <cols>
    <col min="1" max="1" width="17.25" style="820" customWidth="1"/>
    <col min="2" max="2" width="68.75" style="820" customWidth="1"/>
    <col min="3" max="16384" width="9" style="820"/>
  </cols>
  <sheetData>
    <row r="2" spans="1:2" ht="18.75">
      <c r="A2" s="953" t="s">
        <v>3172</v>
      </c>
      <c r="B2" s="953"/>
    </row>
    <row r="3" spans="1:2">
      <c r="A3" s="828" t="s">
        <v>22</v>
      </c>
      <c r="B3" s="827" t="s">
        <v>3156</v>
      </c>
    </row>
    <row r="4" spans="1:2">
      <c r="A4" s="829" t="s">
        <v>298</v>
      </c>
      <c r="B4" s="821" t="s">
        <v>3157</v>
      </c>
    </row>
    <row r="5" spans="1:2">
      <c r="A5" s="830"/>
      <c r="B5" s="821" t="s">
        <v>3158</v>
      </c>
    </row>
    <row r="6" spans="1:2">
      <c r="A6" s="831"/>
      <c r="B6" s="821" t="s">
        <v>3159</v>
      </c>
    </row>
    <row r="7" spans="1:2">
      <c r="A7" s="819" t="s">
        <v>3160</v>
      </c>
      <c r="B7" s="819" t="s">
        <v>3161</v>
      </c>
    </row>
    <row r="8" spans="1:2" ht="47.25">
      <c r="A8" s="822" t="s">
        <v>298</v>
      </c>
      <c r="B8" s="823" t="s">
        <v>3162</v>
      </c>
    </row>
    <row r="9" spans="1:2">
      <c r="A9" s="824"/>
      <c r="B9" s="823" t="s">
        <v>3163</v>
      </c>
    </row>
    <row r="10" spans="1:2">
      <c r="A10" s="824"/>
      <c r="B10" s="823" t="s">
        <v>3164</v>
      </c>
    </row>
    <row r="11" spans="1:2" ht="47.25">
      <c r="A11" s="824"/>
      <c r="B11" s="823" t="s">
        <v>3165</v>
      </c>
    </row>
    <row r="12" spans="1:2" ht="63">
      <c r="A12" s="825"/>
      <c r="B12" s="823" t="s">
        <v>3166</v>
      </c>
    </row>
    <row r="13" spans="1:2">
      <c r="A13" s="826" t="s">
        <v>3160</v>
      </c>
      <c r="B13" s="826" t="s">
        <v>3167</v>
      </c>
    </row>
    <row r="14" spans="1:2">
      <c r="A14" s="832" t="s">
        <v>298</v>
      </c>
      <c r="B14" s="833" t="s">
        <v>3168</v>
      </c>
    </row>
    <row r="15" spans="1:2">
      <c r="A15" s="834"/>
      <c r="B15" s="833" t="s">
        <v>3169</v>
      </c>
    </row>
    <row r="16" spans="1:2">
      <c r="A16" s="834"/>
      <c r="B16" s="833" t="s">
        <v>3170</v>
      </c>
    </row>
    <row r="17" spans="1:2">
      <c r="A17" s="835"/>
      <c r="B17" s="833" t="s">
        <v>3171</v>
      </c>
    </row>
  </sheetData>
  <mergeCells count="1">
    <mergeCell ref="A2:B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573"/>
  <sheetViews>
    <sheetView showGridLines="0" topLeftCell="G1" zoomScale="90" zoomScaleNormal="90" workbookViewId="0">
      <selection activeCell="AC15" sqref="AC15"/>
    </sheetView>
  </sheetViews>
  <sheetFormatPr defaultColWidth="9" defaultRowHeight="15.75"/>
  <cols>
    <col min="1" max="1" width="35.625" style="58" hidden="1" customWidth="1"/>
    <col min="2" max="2" width="14.75" style="58" hidden="1" customWidth="1"/>
    <col min="3" max="3" width="59.625" style="58" hidden="1" customWidth="1"/>
    <col min="4" max="4" width="47.25" style="58" hidden="1" customWidth="1"/>
    <col min="5" max="5" width="75.375" style="58" hidden="1" customWidth="1"/>
    <col min="6" max="6" width="37.25" style="58" hidden="1" customWidth="1"/>
    <col min="7" max="7" width="18.5" style="58" customWidth="1"/>
    <col min="8" max="16384" width="9" style="58"/>
  </cols>
  <sheetData>
    <row r="1" spans="1:24" ht="26.25" customHeight="1">
      <c r="A1" s="954" t="s">
        <v>3153</v>
      </c>
      <c r="B1" s="954"/>
      <c r="C1" s="954"/>
      <c r="D1" s="954"/>
      <c r="E1" s="954"/>
      <c r="F1" s="954"/>
      <c r="G1" s="954"/>
      <c r="H1" s="954"/>
      <c r="I1" s="954"/>
      <c r="J1" s="954"/>
      <c r="K1" s="954"/>
      <c r="L1" s="954"/>
      <c r="M1" s="954"/>
      <c r="N1" s="954"/>
      <c r="O1" s="954"/>
      <c r="P1" s="954"/>
      <c r="Q1" s="954"/>
      <c r="R1" s="954"/>
      <c r="S1" s="954"/>
      <c r="T1" s="954"/>
      <c r="U1" s="954"/>
      <c r="V1" s="954"/>
      <c r="W1" s="954"/>
      <c r="X1" s="954"/>
    </row>
    <row r="33" spans="1:7">
      <c r="A33"/>
      <c r="B33"/>
    </row>
    <row r="34" spans="1:7" hidden="1">
      <c r="A34" s="839" t="s">
        <v>20</v>
      </c>
      <c r="B34" s="840" t="s">
        <v>2388</v>
      </c>
    </row>
    <row r="35" spans="1:7" hidden="1">
      <c r="A35" s="881" t="s">
        <v>23</v>
      </c>
      <c r="B35" s="840" t="s">
        <v>1885</v>
      </c>
    </row>
    <row r="36" spans="1:7" hidden="1">
      <c r="A36" s="881" t="s">
        <v>22</v>
      </c>
      <c r="B36" s="840" t="s">
        <v>1885</v>
      </c>
    </row>
    <row r="37" spans="1:7" hidden="1">
      <c r="C37" s="209"/>
      <c r="D37" s="209"/>
      <c r="E37" s="209"/>
    </row>
    <row r="38" spans="1:7" s="98" customFormat="1" hidden="1">
      <c r="A38" s="839" t="s">
        <v>24</v>
      </c>
      <c r="B38" s="850" t="s">
        <v>1947</v>
      </c>
      <c r="C38" s="840" t="s">
        <v>2779</v>
      </c>
      <c r="D38" s="840" t="s">
        <v>2780</v>
      </c>
      <c r="E38" s="840" t="s">
        <v>2781</v>
      </c>
      <c r="F38"/>
      <c r="G38"/>
    </row>
    <row r="39" spans="1:7" hidden="1">
      <c r="A39" s="840" t="s">
        <v>416</v>
      </c>
      <c r="B39" s="843">
        <v>4717</v>
      </c>
      <c r="C39" s="843">
        <v>4717</v>
      </c>
      <c r="D39" s="843">
        <v>4129</v>
      </c>
      <c r="E39" s="843">
        <v>1284.8370370370371</v>
      </c>
      <c r="F39"/>
      <c r="G39"/>
    </row>
    <row r="40" spans="1:7" hidden="1">
      <c r="A40" s="840" t="s">
        <v>418</v>
      </c>
      <c r="B40" s="843">
        <v>2111</v>
      </c>
      <c r="C40" s="843">
        <v>1895</v>
      </c>
      <c r="D40" s="843">
        <v>2111</v>
      </c>
      <c r="E40" s="843">
        <v>2111</v>
      </c>
      <c r="F40"/>
      <c r="G40"/>
    </row>
    <row r="41" spans="1:7" hidden="1">
      <c r="A41" s="840" t="s">
        <v>429</v>
      </c>
      <c r="B41" s="843">
        <v>4892</v>
      </c>
      <c r="C41" s="843">
        <v>4892</v>
      </c>
      <c r="D41" s="843">
        <v>4130</v>
      </c>
      <c r="E41" s="843">
        <v>4892</v>
      </c>
      <c r="F41"/>
      <c r="G41"/>
    </row>
    <row r="42" spans="1:7" hidden="1">
      <c r="A42" s="840" t="s">
        <v>431</v>
      </c>
      <c r="B42" s="843">
        <v>6936</v>
      </c>
      <c r="C42" s="843">
        <v>6936</v>
      </c>
      <c r="D42" s="843">
        <v>5830</v>
      </c>
      <c r="E42" s="843">
        <v>6936</v>
      </c>
      <c r="F42"/>
      <c r="G42"/>
    </row>
    <row r="43" spans="1:7" hidden="1">
      <c r="A43" s="840" t="s">
        <v>428</v>
      </c>
      <c r="B43" s="843">
        <v>11625</v>
      </c>
      <c r="C43" s="843">
        <v>11625</v>
      </c>
      <c r="D43" s="843">
        <v>8160</v>
      </c>
      <c r="E43" s="843">
        <v>11625</v>
      </c>
      <c r="F43"/>
      <c r="G43"/>
    </row>
    <row r="44" spans="1:7" hidden="1">
      <c r="A44" s="840" t="s">
        <v>427</v>
      </c>
      <c r="B44" s="843">
        <v>3360</v>
      </c>
      <c r="C44" s="843">
        <v>3360</v>
      </c>
      <c r="D44" s="843">
        <v>0</v>
      </c>
      <c r="E44" s="843">
        <v>3360</v>
      </c>
      <c r="F44"/>
      <c r="G44"/>
    </row>
    <row r="45" spans="1:7" hidden="1">
      <c r="A45" s="840" t="s">
        <v>372</v>
      </c>
      <c r="B45" s="843">
        <v>979</v>
      </c>
      <c r="C45" s="843">
        <v>979</v>
      </c>
      <c r="D45" s="843">
        <v>979</v>
      </c>
      <c r="E45" s="843">
        <v>979</v>
      </c>
      <c r="F45"/>
      <c r="G45"/>
    </row>
    <row r="46" spans="1:7" hidden="1">
      <c r="A46" s="840" t="s">
        <v>414</v>
      </c>
      <c r="B46" s="843">
        <v>6042</v>
      </c>
      <c r="C46" s="843">
        <v>6042</v>
      </c>
      <c r="D46" s="843">
        <v>3930</v>
      </c>
      <c r="E46" s="843">
        <v>6042</v>
      </c>
      <c r="F46"/>
      <c r="G46"/>
    </row>
    <row r="47" spans="1:7" hidden="1">
      <c r="A47" s="840" t="s">
        <v>435</v>
      </c>
      <c r="B47" s="843">
        <v>3486</v>
      </c>
      <c r="C47" s="843">
        <v>3486</v>
      </c>
      <c r="D47" s="843">
        <v>3486</v>
      </c>
      <c r="E47" s="843">
        <v>3486</v>
      </c>
      <c r="F47"/>
      <c r="G47"/>
    </row>
    <row r="48" spans="1:7" hidden="1">
      <c r="A48" s="840" t="s">
        <v>410</v>
      </c>
      <c r="B48" s="843">
        <v>4645</v>
      </c>
      <c r="C48" s="843">
        <v>4645</v>
      </c>
      <c r="D48" s="843">
        <v>2074</v>
      </c>
      <c r="E48" s="843">
        <v>4645</v>
      </c>
      <c r="F48"/>
      <c r="G48"/>
    </row>
    <row r="49" spans="1:7" hidden="1">
      <c r="A49" s="840" t="s">
        <v>411</v>
      </c>
      <c r="B49" s="843">
        <v>4104</v>
      </c>
      <c r="C49" s="843">
        <v>4104</v>
      </c>
      <c r="D49" s="843">
        <v>3023</v>
      </c>
      <c r="E49" s="843">
        <v>2717.6562962962967</v>
      </c>
      <c r="F49"/>
      <c r="G49"/>
    </row>
    <row r="50" spans="1:7" hidden="1">
      <c r="A50" s="840" t="s">
        <v>2702</v>
      </c>
      <c r="B50" s="843">
        <v>581</v>
      </c>
      <c r="C50" s="843">
        <v>0</v>
      </c>
      <c r="D50" s="843">
        <v>581</v>
      </c>
      <c r="E50" s="843">
        <v>581</v>
      </c>
      <c r="F50"/>
      <c r="G50"/>
    </row>
    <row r="51" spans="1:7" hidden="1">
      <c r="A51" s="840" t="s">
        <v>445</v>
      </c>
      <c r="B51" s="843">
        <v>3095</v>
      </c>
      <c r="C51" s="843">
        <v>3095</v>
      </c>
      <c r="D51" s="843">
        <v>3095</v>
      </c>
      <c r="E51" s="843">
        <v>3095</v>
      </c>
      <c r="F51"/>
      <c r="G51"/>
    </row>
    <row r="52" spans="1:7" hidden="1">
      <c r="A52" s="840" t="s">
        <v>436</v>
      </c>
      <c r="B52" s="843">
        <v>13302</v>
      </c>
      <c r="C52" s="843">
        <v>13302</v>
      </c>
      <c r="D52" s="843">
        <v>8870</v>
      </c>
      <c r="E52" s="843">
        <v>13302</v>
      </c>
      <c r="F52"/>
      <c r="G52"/>
    </row>
    <row r="53" spans="1:7" hidden="1">
      <c r="A53" s="840" t="s">
        <v>434</v>
      </c>
      <c r="B53" s="843">
        <v>11487</v>
      </c>
      <c r="C53" s="843">
        <v>11487</v>
      </c>
      <c r="D53" s="843">
        <v>6816</v>
      </c>
      <c r="E53" s="843">
        <v>11487</v>
      </c>
      <c r="F53"/>
      <c r="G53"/>
    </row>
    <row r="54" spans="1:7" hidden="1">
      <c r="A54" s="840" t="s">
        <v>443</v>
      </c>
      <c r="B54" s="843">
        <v>11564</v>
      </c>
      <c r="C54" s="843">
        <v>11564</v>
      </c>
      <c r="D54" s="843">
        <v>11564</v>
      </c>
      <c r="E54" s="843">
        <v>11564</v>
      </c>
      <c r="F54"/>
      <c r="G54"/>
    </row>
    <row r="55" spans="1:7" hidden="1">
      <c r="A55" s="840" t="s">
        <v>409</v>
      </c>
      <c r="B55" s="843">
        <v>2805</v>
      </c>
      <c r="C55" s="843">
        <v>2805</v>
      </c>
      <c r="D55" s="843">
        <v>2805</v>
      </c>
      <c r="E55" s="843">
        <v>2805</v>
      </c>
      <c r="F55"/>
      <c r="G55"/>
    </row>
    <row r="56" spans="1:7" hidden="1">
      <c r="A56" s="840" t="s">
        <v>404</v>
      </c>
      <c r="B56" s="843">
        <v>2920</v>
      </c>
      <c r="C56" s="843">
        <v>2920</v>
      </c>
      <c r="D56" s="843">
        <v>2920</v>
      </c>
      <c r="E56" s="843">
        <v>2920</v>
      </c>
      <c r="F56"/>
      <c r="G56"/>
    </row>
    <row r="57" spans="1:7" hidden="1">
      <c r="A57" s="840" t="s">
        <v>426</v>
      </c>
      <c r="B57" s="843">
        <v>6016</v>
      </c>
      <c r="C57" s="843">
        <v>6016</v>
      </c>
      <c r="D57" s="843">
        <v>4020</v>
      </c>
      <c r="E57" s="843">
        <v>6016</v>
      </c>
      <c r="F57"/>
      <c r="G57"/>
    </row>
    <row r="58" spans="1:7" hidden="1">
      <c r="A58" s="840" t="s">
        <v>430</v>
      </c>
      <c r="B58" s="843">
        <v>5950</v>
      </c>
      <c r="C58" s="843">
        <v>5950</v>
      </c>
      <c r="D58" s="843">
        <v>5030</v>
      </c>
      <c r="E58" s="843">
        <v>5950</v>
      </c>
      <c r="F58"/>
      <c r="G58"/>
    </row>
    <row r="59" spans="1:7" hidden="1">
      <c r="A59" s="840" t="s">
        <v>432</v>
      </c>
      <c r="B59" s="843">
        <v>1670</v>
      </c>
      <c r="C59" s="843">
        <v>1670</v>
      </c>
      <c r="D59" s="843">
        <v>800</v>
      </c>
      <c r="E59" s="843">
        <v>1670</v>
      </c>
      <c r="F59"/>
      <c r="G59"/>
    </row>
    <row r="60" spans="1:7" hidden="1">
      <c r="A60" s="840" t="s">
        <v>2311</v>
      </c>
      <c r="B60" s="843">
        <v>2186</v>
      </c>
      <c r="C60" s="843">
        <v>2186</v>
      </c>
      <c r="D60" s="843">
        <v>1710</v>
      </c>
      <c r="E60" s="843">
        <v>2186</v>
      </c>
      <c r="F60"/>
      <c r="G60"/>
    </row>
    <row r="61" spans="1:7" hidden="1">
      <c r="A61" s="840" t="s">
        <v>2310</v>
      </c>
      <c r="B61" s="843">
        <v>2248</v>
      </c>
      <c r="C61" s="843">
        <v>2248</v>
      </c>
      <c r="D61" s="843">
        <v>2200</v>
      </c>
      <c r="E61" s="843">
        <v>2248</v>
      </c>
      <c r="F61"/>
      <c r="G61"/>
    </row>
    <row r="62" spans="1:7" hidden="1">
      <c r="A62" s="840" t="s">
        <v>2312</v>
      </c>
      <c r="B62" s="843">
        <v>2285</v>
      </c>
      <c r="C62" s="843">
        <v>2285</v>
      </c>
      <c r="D62" s="843">
        <v>2285</v>
      </c>
      <c r="E62" s="843">
        <v>2285</v>
      </c>
      <c r="F62"/>
      <c r="G62"/>
    </row>
    <row r="63" spans="1:7" hidden="1">
      <c r="A63" s="840" t="s">
        <v>2700</v>
      </c>
      <c r="B63" s="843">
        <v>114</v>
      </c>
      <c r="C63" s="843">
        <v>114</v>
      </c>
      <c r="D63" s="843">
        <v>100</v>
      </c>
      <c r="E63" s="843">
        <v>114</v>
      </c>
      <c r="F63"/>
      <c r="G63"/>
    </row>
    <row r="64" spans="1:7" hidden="1">
      <c r="A64" s="840" t="s">
        <v>1630</v>
      </c>
      <c r="B64" s="843">
        <v>119120</v>
      </c>
      <c r="C64" s="843">
        <v>118323</v>
      </c>
      <c r="D64" s="843">
        <v>90648</v>
      </c>
      <c r="E64" s="843">
        <v>114301.49333333335</v>
      </c>
      <c r="F64"/>
      <c r="G64"/>
    </row>
    <row r="65" spans="1:7" hidden="1">
      <c r="A65"/>
      <c r="B65"/>
      <c r="C65"/>
      <c r="D65"/>
      <c r="E65"/>
      <c r="F65"/>
      <c r="G65"/>
    </row>
    <row r="66" spans="1:7" hidden="1">
      <c r="A66"/>
      <c r="B66"/>
      <c r="C66"/>
      <c r="D66"/>
      <c r="E66"/>
      <c r="F66"/>
      <c r="G66"/>
    </row>
    <row r="67" spans="1:7" hidden="1">
      <c r="A67"/>
      <c r="B67"/>
      <c r="C67"/>
      <c r="D67"/>
      <c r="E67"/>
      <c r="F67"/>
      <c r="G67"/>
    </row>
    <row r="68" spans="1:7" hidden="1">
      <c r="A68"/>
      <c r="B68"/>
      <c r="C68"/>
      <c r="D68"/>
      <c r="E68"/>
      <c r="F68"/>
      <c r="G68"/>
    </row>
    <row r="69" spans="1:7" hidden="1">
      <c r="A69"/>
      <c r="B69"/>
      <c r="C69"/>
      <c r="D69"/>
      <c r="E69"/>
      <c r="F69"/>
      <c r="G69"/>
    </row>
    <row r="70" spans="1:7" hidden="1">
      <c r="A70"/>
      <c r="B70"/>
      <c r="C70"/>
      <c r="D70"/>
      <c r="E70"/>
      <c r="F70"/>
      <c r="G70"/>
    </row>
    <row r="71" spans="1:7" hidden="1">
      <c r="A71"/>
      <c r="B71"/>
      <c r="C71"/>
      <c r="D71"/>
      <c r="E71"/>
      <c r="F71"/>
      <c r="G71"/>
    </row>
    <row r="72" spans="1:7" hidden="1">
      <c r="A72"/>
      <c r="B72"/>
      <c r="C72"/>
      <c r="D72"/>
      <c r="E72"/>
      <c r="F72"/>
      <c r="G72"/>
    </row>
    <row r="73" spans="1:7" hidden="1">
      <c r="A73"/>
      <c r="B73"/>
      <c r="C73"/>
      <c r="D73"/>
      <c r="E73"/>
      <c r="F73"/>
      <c r="G73"/>
    </row>
    <row r="74" spans="1:7" hidden="1">
      <c r="A74"/>
      <c r="B74"/>
      <c r="C74"/>
      <c r="D74"/>
      <c r="E74"/>
      <c r="F74"/>
      <c r="G74"/>
    </row>
    <row r="75" spans="1:7" hidden="1">
      <c r="A75"/>
      <c r="B75"/>
      <c r="C75"/>
      <c r="D75"/>
      <c r="E75"/>
      <c r="F75"/>
      <c r="G75"/>
    </row>
    <row r="76" spans="1:7" hidden="1">
      <c r="A76"/>
      <c r="B76"/>
      <c r="C76"/>
      <c r="D76"/>
      <c r="E76"/>
      <c r="F76"/>
      <c r="G76"/>
    </row>
    <row r="77" spans="1:7" hidden="1">
      <c r="A77"/>
      <c r="B77"/>
      <c r="C77"/>
      <c r="D77"/>
      <c r="E77"/>
      <c r="F77"/>
      <c r="G77"/>
    </row>
    <row r="78" spans="1:7" hidden="1">
      <c r="A78"/>
      <c r="B78"/>
      <c r="C78"/>
      <c r="D78"/>
      <c r="E78"/>
      <c r="F78"/>
      <c r="G78"/>
    </row>
    <row r="79" spans="1:7" hidden="1">
      <c r="A79"/>
      <c r="B79"/>
      <c r="C79"/>
      <c r="D79"/>
      <c r="E79"/>
      <c r="F79"/>
      <c r="G79"/>
    </row>
    <row r="80" spans="1:7" hidden="1">
      <c r="A80"/>
      <c r="B80"/>
      <c r="C80"/>
      <c r="D80"/>
      <c r="E80"/>
      <c r="F80"/>
      <c r="G80"/>
    </row>
    <row r="81" spans="1:7" hidden="1">
      <c r="A81"/>
      <c r="B81"/>
      <c r="C81"/>
      <c r="D81"/>
      <c r="E81"/>
      <c r="F81"/>
      <c r="G81"/>
    </row>
    <row r="82" spans="1:7" hidden="1">
      <c r="A82"/>
      <c r="B82"/>
      <c r="C82"/>
      <c r="D82"/>
      <c r="E82"/>
      <c r="F82"/>
      <c r="G82"/>
    </row>
    <row r="83" spans="1:7" hidden="1">
      <c r="A83"/>
      <c r="B83"/>
      <c r="C83"/>
      <c r="D83"/>
      <c r="E83"/>
      <c r="F83"/>
      <c r="G83"/>
    </row>
    <row r="84" spans="1:7" hidden="1">
      <c r="A84"/>
      <c r="B84"/>
      <c r="C84"/>
      <c r="D84"/>
      <c r="E84"/>
      <c r="F84"/>
      <c r="G84"/>
    </row>
    <row r="85" spans="1:7" hidden="1">
      <c r="A85"/>
      <c r="B85"/>
      <c r="C85"/>
      <c r="D85"/>
      <c r="E85"/>
      <c r="F85"/>
      <c r="G85"/>
    </row>
    <row r="86" spans="1:7" hidden="1">
      <c r="A86"/>
      <c r="B86"/>
      <c r="C86"/>
      <c r="D86"/>
      <c r="E86"/>
      <c r="F86"/>
      <c r="G86"/>
    </row>
    <row r="87" spans="1:7" hidden="1">
      <c r="A87"/>
      <c r="B87"/>
      <c r="C87"/>
      <c r="D87"/>
      <c r="E87"/>
      <c r="F87"/>
      <c r="G87"/>
    </row>
    <row r="88" spans="1:7" hidden="1">
      <c r="A88"/>
      <c r="B88"/>
      <c r="C88"/>
      <c r="D88"/>
      <c r="E88"/>
      <c r="F88"/>
      <c r="G88"/>
    </row>
    <row r="89" spans="1:7" hidden="1">
      <c r="A89"/>
      <c r="B89"/>
      <c r="C89"/>
      <c r="D89"/>
      <c r="E89"/>
      <c r="F89"/>
      <c r="G89"/>
    </row>
    <row r="90" spans="1:7" hidden="1">
      <c r="A90"/>
      <c r="B90"/>
      <c r="C90"/>
      <c r="D90"/>
      <c r="E90"/>
      <c r="F90"/>
      <c r="G90"/>
    </row>
    <row r="91" spans="1:7" hidden="1">
      <c r="A91"/>
      <c r="B91"/>
      <c r="C91"/>
      <c r="D91"/>
      <c r="E91"/>
      <c r="F91"/>
      <c r="G91"/>
    </row>
    <row r="92" spans="1:7" hidden="1">
      <c r="A92"/>
      <c r="B92"/>
      <c r="C92"/>
      <c r="D92"/>
      <c r="E92"/>
      <c r="F92"/>
      <c r="G92"/>
    </row>
    <row r="93" spans="1:7" hidden="1">
      <c r="A93"/>
      <c r="B93"/>
      <c r="C93"/>
      <c r="D93"/>
      <c r="E93"/>
      <c r="F93"/>
      <c r="G93"/>
    </row>
    <row r="94" spans="1:7" hidden="1">
      <c r="A94"/>
      <c r="B94"/>
      <c r="C94"/>
      <c r="D94"/>
      <c r="E94"/>
      <c r="F94"/>
      <c r="G94"/>
    </row>
    <row r="95" spans="1:7" hidden="1">
      <c r="A95"/>
      <c r="B95"/>
      <c r="C95"/>
      <c r="D95"/>
      <c r="E95"/>
      <c r="F95"/>
      <c r="G95"/>
    </row>
    <row r="96" spans="1:7" hidden="1">
      <c r="A96"/>
      <c r="B96"/>
      <c r="C96"/>
      <c r="D96"/>
      <c r="E96"/>
      <c r="F96"/>
      <c r="G96"/>
    </row>
    <row r="97" spans="1:7" hidden="1">
      <c r="A97"/>
      <c r="B97"/>
      <c r="C97"/>
      <c r="D97"/>
      <c r="E97"/>
      <c r="F97"/>
      <c r="G97"/>
    </row>
    <row r="98" spans="1:7" hidden="1">
      <c r="A98"/>
      <c r="B98"/>
      <c r="C98"/>
      <c r="D98"/>
      <c r="E98"/>
      <c r="F98"/>
      <c r="G98"/>
    </row>
    <row r="99" spans="1:7" hidden="1">
      <c r="A99"/>
      <c r="B99"/>
      <c r="C99"/>
      <c r="D99"/>
      <c r="E99"/>
      <c r="F99"/>
      <c r="G99"/>
    </row>
    <row r="100" spans="1:7" hidden="1">
      <c r="A100"/>
      <c r="B100"/>
      <c r="C100"/>
      <c r="D100"/>
      <c r="E100"/>
      <c r="F100"/>
      <c r="G100"/>
    </row>
    <row r="101" spans="1:7" hidden="1">
      <c r="A101"/>
      <c r="B101"/>
      <c r="C101"/>
      <c r="D101"/>
      <c r="E101"/>
      <c r="F101"/>
      <c r="G101"/>
    </row>
    <row r="102" spans="1:7" hidden="1">
      <c r="A102"/>
      <c r="B102"/>
      <c r="C102"/>
      <c r="D102"/>
      <c r="E102"/>
      <c r="F102"/>
      <c r="G102"/>
    </row>
    <row r="103" spans="1:7" hidden="1">
      <c r="A103"/>
      <c r="B103"/>
      <c r="C103"/>
      <c r="D103"/>
      <c r="E103"/>
      <c r="F103"/>
      <c r="G103"/>
    </row>
    <row r="104" spans="1:7" hidden="1">
      <c r="A104"/>
      <c r="B104"/>
      <c r="C104"/>
      <c r="D104"/>
      <c r="E104"/>
      <c r="F104"/>
      <c r="G104"/>
    </row>
    <row r="105" spans="1:7" hidden="1">
      <c r="A105"/>
      <c r="B105"/>
      <c r="C105"/>
      <c r="D105"/>
      <c r="E105"/>
      <c r="F105"/>
      <c r="G105"/>
    </row>
    <row r="106" spans="1:7" hidden="1">
      <c r="A106"/>
      <c r="B106"/>
      <c r="C106"/>
      <c r="D106"/>
      <c r="E106"/>
      <c r="F106"/>
      <c r="G106"/>
    </row>
    <row r="107" spans="1:7" hidden="1">
      <c r="A107"/>
      <c r="B107"/>
      <c r="C107"/>
      <c r="D107"/>
      <c r="E107"/>
      <c r="F107"/>
      <c r="G107"/>
    </row>
    <row r="108" spans="1:7" hidden="1">
      <c r="A108"/>
      <c r="B108"/>
      <c r="C108"/>
      <c r="D108"/>
      <c r="E108"/>
      <c r="F108"/>
      <c r="G108"/>
    </row>
    <row r="109" spans="1:7" hidden="1">
      <c r="A109"/>
      <c r="B109"/>
      <c r="C109"/>
      <c r="D109"/>
      <c r="E109"/>
      <c r="F109"/>
      <c r="G109"/>
    </row>
    <row r="110" spans="1:7" hidden="1">
      <c r="A110"/>
      <c r="B110"/>
      <c r="C110"/>
      <c r="D110"/>
      <c r="E110"/>
      <c r="F110"/>
      <c r="G110"/>
    </row>
    <row r="111" spans="1:7" hidden="1">
      <c r="A111"/>
      <c r="B111"/>
      <c r="C111"/>
      <c r="D111"/>
      <c r="E111"/>
      <c r="F111"/>
      <c r="G111"/>
    </row>
    <row r="112" spans="1:7" hidden="1">
      <c r="A112"/>
      <c r="B112"/>
      <c r="C112"/>
      <c r="D112"/>
      <c r="E112"/>
      <c r="F112"/>
      <c r="G112"/>
    </row>
    <row r="113" spans="1:7" hidden="1">
      <c r="A113"/>
      <c r="B113"/>
      <c r="C113"/>
      <c r="D113"/>
      <c r="E113"/>
      <c r="F113"/>
      <c r="G113"/>
    </row>
    <row r="114" spans="1:7" hidden="1">
      <c r="A114"/>
      <c r="B114"/>
      <c r="C114"/>
      <c r="D114"/>
      <c r="E114"/>
      <c r="F114"/>
      <c r="G114"/>
    </row>
    <row r="115" spans="1:7" hidden="1">
      <c r="A115"/>
      <c r="B115"/>
      <c r="C115"/>
      <c r="D115"/>
      <c r="E115"/>
      <c r="F115"/>
      <c r="G115"/>
    </row>
    <row r="116" spans="1:7" hidden="1">
      <c r="A116"/>
      <c r="B116"/>
      <c r="C116"/>
      <c r="D116"/>
      <c r="E116"/>
      <c r="F116"/>
      <c r="G116"/>
    </row>
    <row r="117" spans="1:7" hidden="1">
      <c r="A117"/>
      <c r="B117"/>
      <c r="C117"/>
      <c r="D117"/>
      <c r="E117"/>
      <c r="F117"/>
      <c r="G117"/>
    </row>
    <row r="118" spans="1:7" hidden="1">
      <c r="A118"/>
      <c r="B118"/>
      <c r="C118"/>
      <c r="D118"/>
      <c r="E118"/>
      <c r="F118"/>
      <c r="G118"/>
    </row>
    <row r="119" spans="1:7" hidden="1">
      <c r="A119"/>
      <c r="B119"/>
      <c r="C119"/>
      <c r="D119"/>
      <c r="E119"/>
      <c r="F119"/>
      <c r="G119"/>
    </row>
    <row r="120" spans="1:7" hidden="1">
      <c r="A120"/>
      <c r="B120"/>
      <c r="C120"/>
      <c r="D120"/>
      <c r="E120"/>
      <c r="F120"/>
      <c r="G120"/>
    </row>
    <row r="121" spans="1:7" hidden="1">
      <c r="A121"/>
      <c r="B121"/>
      <c r="C121"/>
      <c r="D121"/>
      <c r="E121"/>
      <c r="F121"/>
      <c r="G121"/>
    </row>
    <row r="122" spans="1:7" hidden="1">
      <c r="A122"/>
      <c r="B122"/>
      <c r="C122"/>
      <c r="D122"/>
      <c r="E122"/>
      <c r="F122"/>
      <c r="G122"/>
    </row>
    <row r="123" spans="1:7" hidden="1">
      <c r="A123"/>
      <c r="B123"/>
      <c r="C123"/>
      <c r="D123"/>
      <c r="E123"/>
      <c r="F123"/>
      <c r="G123"/>
    </row>
    <row r="124" spans="1:7" hidden="1">
      <c r="A124"/>
      <c r="B124"/>
      <c r="C124"/>
      <c r="D124"/>
      <c r="E124"/>
      <c r="F124"/>
      <c r="G124"/>
    </row>
    <row r="125" spans="1:7" hidden="1">
      <c r="A125"/>
      <c r="B125"/>
      <c r="C125"/>
      <c r="D125"/>
      <c r="E125"/>
      <c r="F125"/>
      <c r="G125"/>
    </row>
    <row r="126" spans="1:7" hidden="1">
      <c r="A126"/>
      <c r="B126"/>
      <c r="C126"/>
      <c r="D126"/>
      <c r="E126"/>
      <c r="F126"/>
      <c r="G126"/>
    </row>
    <row r="127" spans="1:7" hidden="1">
      <c r="A127"/>
      <c r="B127"/>
      <c r="C127"/>
      <c r="D127"/>
      <c r="E127"/>
      <c r="F127"/>
      <c r="G127"/>
    </row>
    <row r="128" spans="1:7" hidden="1">
      <c r="A128"/>
      <c r="B128"/>
      <c r="C128"/>
      <c r="D128"/>
      <c r="E128"/>
      <c r="F128"/>
      <c r="G128"/>
    </row>
    <row r="129" spans="1:7" hidden="1">
      <c r="A129"/>
      <c r="B129"/>
      <c r="C129"/>
      <c r="D129"/>
      <c r="E129"/>
      <c r="F129"/>
      <c r="G129"/>
    </row>
    <row r="130" spans="1:7" hidden="1">
      <c r="A130"/>
      <c r="B130"/>
      <c r="C130"/>
      <c r="D130"/>
      <c r="E130"/>
      <c r="F130"/>
      <c r="G130"/>
    </row>
    <row r="131" spans="1:7" hidden="1">
      <c r="A131"/>
      <c r="B131"/>
      <c r="C131"/>
      <c r="D131"/>
      <c r="E131"/>
      <c r="F131"/>
      <c r="G131"/>
    </row>
    <row r="132" spans="1:7" hidden="1">
      <c r="A132"/>
      <c r="B132"/>
      <c r="C132"/>
      <c r="D132"/>
      <c r="E132"/>
      <c r="F132"/>
      <c r="G132"/>
    </row>
    <row r="133" spans="1:7" hidden="1">
      <c r="A133"/>
      <c r="B133"/>
      <c r="C133"/>
      <c r="D133"/>
      <c r="E133"/>
      <c r="F133"/>
      <c r="G133"/>
    </row>
    <row r="134" spans="1:7" hidden="1">
      <c r="A134"/>
      <c r="B134"/>
      <c r="C134"/>
      <c r="D134"/>
      <c r="E134"/>
      <c r="F134"/>
      <c r="G134"/>
    </row>
    <row r="135" spans="1:7" hidden="1">
      <c r="A135"/>
      <c r="B135"/>
      <c r="C135"/>
      <c r="D135"/>
      <c r="E135"/>
      <c r="F135"/>
      <c r="G135"/>
    </row>
    <row r="136" spans="1:7" hidden="1">
      <c r="A136"/>
      <c r="B136"/>
      <c r="C136"/>
      <c r="D136"/>
      <c r="E136"/>
      <c r="F136"/>
      <c r="G136"/>
    </row>
    <row r="137" spans="1:7" hidden="1">
      <c r="A137"/>
      <c r="B137"/>
      <c r="C137"/>
      <c r="D137"/>
      <c r="E137"/>
      <c r="F137"/>
      <c r="G137"/>
    </row>
    <row r="138" spans="1:7" hidden="1">
      <c r="A138"/>
      <c r="B138"/>
      <c r="C138"/>
      <c r="D138"/>
      <c r="E138"/>
      <c r="F138"/>
      <c r="G138"/>
    </row>
    <row r="139" spans="1:7" hidden="1">
      <c r="A139"/>
      <c r="B139"/>
      <c r="C139"/>
      <c r="D139"/>
      <c r="E139"/>
      <c r="F139"/>
      <c r="G139"/>
    </row>
    <row r="140" spans="1:7" hidden="1">
      <c r="A140"/>
      <c r="B140"/>
      <c r="C140"/>
      <c r="D140"/>
      <c r="E140"/>
      <c r="F140"/>
      <c r="G140"/>
    </row>
    <row r="141" spans="1:7" hidden="1">
      <c r="A141"/>
      <c r="B141"/>
      <c r="C141"/>
      <c r="D141"/>
      <c r="E141"/>
      <c r="F141"/>
      <c r="G141"/>
    </row>
    <row r="142" spans="1:7" hidden="1">
      <c r="A142"/>
      <c r="B142"/>
      <c r="C142"/>
      <c r="D142"/>
      <c r="E142"/>
      <c r="F142"/>
      <c r="G142"/>
    </row>
    <row r="143" spans="1:7" hidden="1">
      <c r="A143"/>
      <c r="B143"/>
      <c r="C143"/>
      <c r="D143"/>
      <c r="E143"/>
      <c r="F143"/>
      <c r="G143"/>
    </row>
    <row r="144" spans="1:7" hidden="1">
      <c r="A144"/>
      <c r="B144"/>
      <c r="C144"/>
      <c r="D144"/>
      <c r="E144"/>
      <c r="F144"/>
      <c r="G144"/>
    </row>
    <row r="145" spans="1:7" hidden="1">
      <c r="A145"/>
      <c r="B145"/>
      <c r="C145"/>
      <c r="D145"/>
      <c r="E145"/>
      <c r="F145"/>
      <c r="G145"/>
    </row>
    <row r="146" spans="1:7" hidden="1">
      <c r="A146"/>
      <c r="B146"/>
      <c r="C146"/>
      <c r="D146"/>
      <c r="E146"/>
      <c r="F146"/>
      <c r="G146"/>
    </row>
    <row r="147" spans="1:7" hidden="1">
      <c r="A147"/>
      <c r="B147"/>
      <c r="C147"/>
      <c r="D147"/>
      <c r="E147"/>
      <c r="F147"/>
      <c r="G147"/>
    </row>
    <row r="148" spans="1:7" hidden="1">
      <c r="A148"/>
      <c r="B148"/>
      <c r="C148"/>
      <c r="D148"/>
      <c r="E148"/>
      <c r="F148"/>
      <c r="G148"/>
    </row>
    <row r="149" spans="1:7" hidden="1">
      <c r="A149"/>
      <c r="B149"/>
      <c r="C149"/>
      <c r="D149"/>
      <c r="E149"/>
      <c r="F149"/>
      <c r="G149"/>
    </row>
    <row r="150" spans="1:7" hidden="1">
      <c r="A150"/>
      <c r="B150"/>
      <c r="C150"/>
      <c r="D150"/>
      <c r="E150"/>
      <c r="F150"/>
      <c r="G150"/>
    </row>
    <row r="151" spans="1:7" hidden="1">
      <c r="A151"/>
      <c r="B151"/>
      <c r="C151"/>
      <c r="D151"/>
      <c r="E151"/>
      <c r="F151"/>
      <c r="G151"/>
    </row>
    <row r="152" spans="1:7" hidden="1">
      <c r="A152"/>
      <c r="B152"/>
      <c r="C152"/>
      <c r="D152"/>
      <c r="E152"/>
      <c r="F152"/>
      <c r="G152"/>
    </row>
    <row r="153" spans="1:7" hidden="1">
      <c r="A153"/>
      <c r="B153"/>
      <c r="C153"/>
      <c r="D153"/>
      <c r="E153"/>
      <c r="F153"/>
      <c r="G153"/>
    </row>
    <row r="154" spans="1:7" hidden="1">
      <c r="A154"/>
      <c r="B154"/>
      <c r="C154"/>
      <c r="D154"/>
      <c r="E154"/>
      <c r="F154"/>
      <c r="G154"/>
    </row>
    <row r="155" spans="1:7" hidden="1">
      <c r="A155"/>
      <c r="B155"/>
      <c r="C155"/>
      <c r="D155"/>
      <c r="E155"/>
      <c r="F155"/>
      <c r="G155"/>
    </row>
    <row r="156" spans="1:7" hidden="1">
      <c r="A156"/>
      <c r="B156"/>
      <c r="C156"/>
      <c r="D156"/>
      <c r="E156"/>
      <c r="F156"/>
      <c r="G156"/>
    </row>
    <row r="157" spans="1:7" hidden="1">
      <c r="A157"/>
      <c r="B157"/>
      <c r="C157"/>
      <c r="D157"/>
      <c r="E157"/>
      <c r="F157"/>
      <c r="G157"/>
    </row>
    <row r="158" spans="1:7" hidden="1">
      <c r="A158"/>
      <c r="B158"/>
      <c r="C158"/>
      <c r="D158"/>
      <c r="E158"/>
      <c r="F158"/>
      <c r="G158"/>
    </row>
    <row r="159" spans="1:7" hidden="1">
      <c r="A159"/>
      <c r="B159"/>
      <c r="C159"/>
      <c r="D159"/>
      <c r="E159"/>
      <c r="F159"/>
      <c r="G159"/>
    </row>
    <row r="160" spans="1:7" hidden="1">
      <c r="A160"/>
      <c r="B160"/>
      <c r="C160"/>
      <c r="D160"/>
      <c r="E160"/>
      <c r="F160"/>
      <c r="G160"/>
    </row>
    <row r="161" spans="1:7" hidden="1">
      <c r="A161"/>
      <c r="B161"/>
      <c r="C161"/>
      <c r="D161"/>
      <c r="E161"/>
      <c r="F161"/>
      <c r="G161"/>
    </row>
    <row r="162" spans="1:7" hidden="1">
      <c r="A162"/>
      <c r="B162"/>
      <c r="C162"/>
      <c r="D162"/>
      <c r="E162"/>
      <c r="F162"/>
      <c r="G162"/>
    </row>
    <row r="163" spans="1:7" hidden="1">
      <c r="A163"/>
      <c r="B163"/>
      <c r="C163"/>
      <c r="D163"/>
      <c r="E163"/>
      <c r="F163"/>
      <c r="G163"/>
    </row>
    <row r="164" spans="1:7" hidden="1">
      <c r="A164"/>
      <c r="B164"/>
      <c r="C164"/>
      <c r="D164"/>
      <c r="E164"/>
      <c r="F164"/>
      <c r="G164"/>
    </row>
    <row r="165" spans="1:7" hidden="1">
      <c r="A165"/>
      <c r="B165"/>
      <c r="C165"/>
      <c r="D165"/>
      <c r="E165"/>
      <c r="F165"/>
      <c r="G165"/>
    </row>
    <row r="166" spans="1:7" hidden="1">
      <c r="A166"/>
      <c r="B166"/>
      <c r="C166"/>
      <c r="D166"/>
      <c r="E166"/>
      <c r="F166"/>
      <c r="G166"/>
    </row>
    <row r="167" spans="1:7" hidden="1">
      <c r="A167"/>
      <c r="B167"/>
      <c r="C167"/>
      <c r="D167"/>
      <c r="E167"/>
      <c r="F167"/>
      <c r="G167"/>
    </row>
    <row r="168" spans="1:7" hidden="1">
      <c r="A168"/>
      <c r="B168"/>
      <c r="C168"/>
      <c r="D168"/>
      <c r="E168"/>
      <c r="F168"/>
      <c r="G168"/>
    </row>
    <row r="169" spans="1:7" hidden="1">
      <c r="A169"/>
      <c r="B169"/>
      <c r="C169"/>
      <c r="D169"/>
      <c r="E169"/>
      <c r="F169"/>
      <c r="G169"/>
    </row>
    <row r="170" spans="1:7" hidden="1">
      <c r="A170"/>
      <c r="B170"/>
      <c r="C170"/>
      <c r="D170"/>
      <c r="E170"/>
      <c r="F170"/>
      <c r="G170"/>
    </row>
    <row r="171" spans="1:7" hidden="1">
      <c r="A171"/>
      <c r="B171"/>
      <c r="C171"/>
      <c r="D171"/>
      <c r="E171"/>
      <c r="F171"/>
      <c r="G171"/>
    </row>
    <row r="172" spans="1:7" hidden="1">
      <c r="A172"/>
      <c r="B172"/>
      <c r="C172"/>
      <c r="D172"/>
      <c r="E172"/>
    </row>
    <row r="173" spans="1:7" hidden="1">
      <c r="A173"/>
      <c r="B173"/>
      <c r="C173"/>
      <c r="D173"/>
      <c r="E173"/>
    </row>
    <row r="174" spans="1:7" hidden="1">
      <c r="A174"/>
      <c r="B174"/>
      <c r="C174"/>
      <c r="D174"/>
      <c r="E174"/>
    </row>
    <row r="175" spans="1:7" hidden="1">
      <c r="A175"/>
      <c r="B175"/>
      <c r="C175"/>
      <c r="D175"/>
      <c r="E175"/>
    </row>
    <row r="176" spans="1:7" hidden="1">
      <c r="A176"/>
      <c r="B176"/>
      <c r="C176"/>
      <c r="D176"/>
      <c r="E176"/>
    </row>
    <row r="177" spans="1:5" hidden="1">
      <c r="A177"/>
      <c r="B177"/>
      <c r="C177"/>
      <c r="D177"/>
      <c r="E177"/>
    </row>
    <row r="178" spans="1:5" hidden="1">
      <c r="A178"/>
      <c r="B178"/>
      <c r="C178"/>
      <c r="D178"/>
      <c r="E178"/>
    </row>
    <row r="179" spans="1:5" hidden="1">
      <c r="A179"/>
      <c r="B179"/>
      <c r="C179"/>
      <c r="D179"/>
      <c r="E179"/>
    </row>
    <row r="180" spans="1:5" hidden="1">
      <c r="A180"/>
      <c r="B180"/>
      <c r="C180"/>
      <c r="D180"/>
      <c r="E180"/>
    </row>
    <row r="181" spans="1:5" hidden="1">
      <c r="A181"/>
      <c r="B181"/>
      <c r="C181"/>
      <c r="D181"/>
      <c r="E181"/>
    </row>
    <row r="182" spans="1:5" hidden="1">
      <c r="A182"/>
      <c r="B182"/>
      <c r="C182"/>
      <c r="D182"/>
      <c r="E182"/>
    </row>
    <row r="183" spans="1:5" hidden="1">
      <c r="A183"/>
      <c r="B183"/>
      <c r="C183"/>
      <c r="D183"/>
      <c r="E183"/>
    </row>
    <row r="184" spans="1:5" hidden="1">
      <c r="A184"/>
      <c r="B184"/>
      <c r="C184"/>
      <c r="D184"/>
      <c r="E184"/>
    </row>
    <row r="185" spans="1:5" hidden="1">
      <c r="A185"/>
      <c r="B185"/>
      <c r="C185"/>
      <c r="D185"/>
      <c r="E185"/>
    </row>
    <row r="186" spans="1:5" hidden="1">
      <c r="A186"/>
      <c r="B186"/>
      <c r="C186"/>
      <c r="D186"/>
      <c r="E186"/>
    </row>
    <row r="187" spans="1:5" hidden="1">
      <c r="A187"/>
      <c r="B187"/>
      <c r="C187"/>
      <c r="D187"/>
      <c r="E187"/>
    </row>
    <row r="188" spans="1:5" hidden="1">
      <c r="A188"/>
      <c r="B188"/>
      <c r="C188"/>
      <c r="D188"/>
      <c r="E188"/>
    </row>
    <row r="189" spans="1:5" hidden="1">
      <c r="A189"/>
      <c r="B189"/>
      <c r="C189"/>
      <c r="D189"/>
      <c r="E189"/>
    </row>
    <row r="190" spans="1:5" hidden="1">
      <c r="A190"/>
      <c r="B190"/>
      <c r="C190"/>
      <c r="D190"/>
      <c r="E190"/>
    </row>
    <row r="191" spans="1:5" hidden="1">
      <c r="A191"/>
      <c r="B191"/>
      <c r="C191"/>
      <c r="D191"/>
      <c r="E191"/>
    </row>
    <row r="192" spans="1:5" hidden="1">
      <c r="A192"/>
      <c r="B192"/>
      <c r="C192"/>
      <c r="D192"/>
      <c r="E192"/>
    </row>
    <row r="193" spans="1:5" hidden="1">
      <c r="A193"/>
      <c r="B193"/>
      <c r="C193"/>
      <c r="D193"/>
      <c r="E193"/>
    </row>
    <row r="194" spans="1:5" hidden="1">
      <c r="A194"/>
      <c r="B194"/>
      <c r="C194"/>
      <c r="D194"/>
      <c r="E194"/>
    </row>
    <row r="195" spans="1:5" hidden="1">
      <c r="A195"/>
      <c r="B195"/>
      <c r="C195"/>
      <c r="D195"/>
      <c r="E195"/>
    </row>
    <row r="196" spans="1:5" hidden="1">
      <c r="A196"/>
      <c r="B196"/>
      <c r="C196"/>
      <c r="D196"/>
      <c r="E196"/>
    </row>
    <row r="197" spans="1:5" hidden="1">
      <c r="A197"/>
      <c r="B197"/>
      <c r="C197"/>
      <c r="D197"/>
      <c r="E197"/>
    </row>
    <row r="198" spans="1:5" hidden="1">
      <c r="A198"/>
      <c r="B198"/>
      <c r="C198"/>
      <c r="D198"/>
      <c r="E198"/>
    </row>
    <row r="199" spans="1:5" hidden="1">
      <c r="A199"/>
      <c r="B199"/>
      <c r="C199"/>
      <c r="D199"/>
      <c r="E199"/>
    </row>
    <row r="200" spans="1:5" hidden="1">
      <c r="A200"/>
      <c r="B200"/>
      <c r="C200"/>
      <c r="D200"/>
      <c r="E200"/>
    </row>
    <row r="201" spans="1:5" hidden="1">
      <c r="A201"/>
      <c r="B201"/>
      <c r="C201"/>
      <c r="D201"/>
      <c r="E201"/>
    </row>
    <row r="202" spans="1:5" hidden="1">
      <c r="A202"/>
      <c r="B202"/>
      <c r="C202"/>
      <c r="D202"/>
      <c r="E202"/>
    </row>
    <row r="203" spans="1:5" hidden="1">
      <c r="A203"/>
      <c r="B203"/>
      <c r="C203"/>
      <c r="D203"/>
      <c r="E203"/>
    </row>
    <row r="204" spans="1:5" hidden="1">
      <c r="A204"/>
      <c r="B204"/>
      <c r="C204"/>
      <c r="D204"/>
      <c r="E204"/>
    </row>
    <row r="205" spans="1:5" hidden="1">
      <c r="A205"/>
      <c r="B205"/>
      <c r="C205"/>
      <c r="D205"/>
      <c r="E205"/>
    </row>
    <row r="206" spans="1:5" hidden="1">
      <c r="A206"/>
      <c r="B206"/>
      <c r="C206"/>
      <c r="D206"/>
      <c r="E206"/>
    </row>
    <row r="207" spans="1:5" hidden="1">
      <c r="A207"/>
      <c r="B207"/>
      <c r="C207"/>
      <c r="D207"/>
      <c r="E207"/>
    </row>
    <row r="208" spans="1:5" hidden="1">
      <c r="A208"/>
      <c r="B208"/>
      <c r="C208"/>
      <c r="D208"/>
      <c r="E208"/>
    </row>
    <row r="209" spans="1:5" hidden="1">
      <c r="A209"/>
      <c r="B209"/>
      <c r="C209"/>
      <c r="D209"/>
      <c r="E209"/>
    </row>
    <row r="210" spans="1:5" hidden="1">
      <c r="A210"/>
      <c r="B210"/>
      <c r="C210"/>
      <c r="D210"/>
      <c r="E210"/>
    </row>
    <row r="211" spans="1:5" hidden="1">
      <c r="A211"/>
      <c r="B211"/>
      <c r="C211"/>
      <c r="D211"/>
      <c r="E211"/>
    </row>
    <row r="212" spans="1:5" hidden="1">
      <c r="A212"/>
      <c r="B212"/>
      <c r="C212"/>
      <c r="D212"/>
      <c r="E212"/>
    </row>
    <row r="213" spans="1:5" hidden="1">
      <c r="A213"/>
      <c r="B213"/>
      <c r="C213"/>
      <c r="D213"/>
      <c r="E213"/>
    </row>
    <row r="214" spans="1:5" hidden="1">
      <c r="A214"/>
      <c r="B214"/>
      <c r="C214"/>
      <c r="D214"/>
      <c r="E214"/>
    </row>
    <row r="215" spans="1:5" hidden="1">
      <c r="A215"/>
      <c r="B215"/>
      <c r="C215"/>
      <c r="D215"/>
      <c r="E215"/>
    </row>
    <row r="216" spans="1:5" hidden="1">
      <c r="A216"/>
      <c r="B216"/>
      <c r="C216"/>
      <c r="D216"/>
      <c r="E216"/>
    </row>
    <row r="217" spans="1:5" hidden="1">
      <c r="A217"/>
      <c r="B217"/>
      <c r="C217"/>
      <c r="D217"/>
      <c r="E217"/>
    </row>
    <row r="218" spans="1:5" hidden="1">
      <c r="A218"/>
      <c r="B218"/>
      <c r="C218"/>
      <c r="D218"/>
      <c r="E218"/>
    </row>
    <row r="219" spans="1:5" hidden="1">
      <c r="A219"/>
      <c r="B219"/>
      <c r="C219"/>
      <c r="D219"/>
      <c r="E219"/>
    </row>
    <row r="220" spans="1:5" hidden="1">
      <c r="A220"/>
      <c r="B220"/>
      <c r="C220"/>
      <c r="D220"/>
      <c r="E220"/>
    </row>
    <row r="221" spans="1:5" hidden="1">
      <c r="A221"/>
      <c r="B221"/>
      <c r="C221"/>
      <c r="D221"/>
      <c r="E221"/>
    </row>
    <row r="222" spans="1:5" hidden="1">
      <c r="A222"/>
      <c r="B222"/>
      <c r="C222"/>
      <c r="D222"/>
      <c r="E222"/>
    </row>
    <row r="223" spans="1:5" hidden="1">
      <c r="A223"/>
      <c r="B223"/>
      <c r="C223"/>
      <c r="D223"/>
      <c r="E223"/>
    </row>
    <row r="224" spans="1:5" hidden="1">
      <c r="A224"/>
      <c r="B224"/>
      <c r="C224"/>
      <c r="D224"/>
      <c r="E224"/>
    </row>
    <row r="225" spans="1:5" hidden="1">
      <c r="A225"/>
      <c r="B225"/>
      <c r="C225"/>
      <c r="D225"/>
      <c r="E225"/>
    </row>
    <row r="226" spans="1:5" hidden="1">
      <c r="A226"/>
      <c r="B226"/>
      <c r="C226"/>
      <c r="D226"/>
      <c r="E226"/>
    </row>
    <row r="227" spans="1:5" hidden="1">
      <c r="A227"/>
      <c r="B227"/>
      <c r="C227"/>
      <c r="D227"/>
      <c r="E227"/>
    </row>
    <row r="228" spans="1:5" hidden="1">
      <c r="A228"/>
      <c r="B228"/>
      <c r="C228"/>
      <c r="D228"/>
      <c r="E228"/>
    </row>
    <row r="229" spans="1:5" hidden="1">
      <c r="A229"/>
      <c r="B229"/>
      <c r="C229"/>
      <c r="D229"/>
      <c r="E229"/>
    </row>
    <row r="230" spans="1:5" hidden="1">
      <c r="A230"/>
      <c r="B230"/>
      <c r="C230"/>
      <c r="D230"/>
      <c r="E230"/>
    </row>
    <row r="231" spans="1:5" hidden="1">
      <c r="A231"/>
      <c r="B231"/>
      <c r="C231"/>
      <c r="D231"/>
      <c r="E231"/>
    </row>
    <row r="232" spans="1:5" hidden="1">
      <c r="A232"/>
      <c r="B232"/>
      <c r="C232"/>
      <c r="D232"/>
      <c r="E232"/>
    </row>
    <row r="233" spans="1:5" hidden="1">
      <c r="A233"/>
      <c r="B233"/>
      <c r="C233"/>
      <c r="D233"/>
      <c r="E233"/>
    </row>
    <row r="234" spans="1:5" hidden="1">
      <c r="A234"/>
      <c r="B234"/>
      <c r="C234"/>
      <c r="D234"/>
      <c r="E234"/>
    </row>
    <row r="235" spans="1:5" hidden="1">
      <c r="A235"/>
      <c r="B235"/>
      <c r="C235"/>
      <c r="D235"/>
      <c r="E235"/>
    </row>
    <row r="236" spans="1:5" hidden="1">
      <c r="A236"/>
      <c r="B236"/>
      <c r="C236"/>
      <c r="D236"/>
      <c r="E236"/>
    </row>
    <row r="237" spans="1:5" hidden="1">
      <c r="A237"/>
      <c r="B237"/>
      <c r="C237"/>
      <c r="D237"/>
      <c r="E237"/>
    </row>
    <row r="238" spans="1:5" hidden="1">
      <c r="A238"/>
      <c r="B238"/>
      <c r="C238"/>
      <c r="D238"/>
      <c r="E238"/>
    </row>
    <row r="239" spans="1:5" hidden="1">
      <c r="A239"/>
      <c r="B239"/>
      <c r="C239"/>
      <c r="D239"/>
      <c r="E239"/>
    </row>
    <row r="240" spans="1:5" hidden="1">
      <c r="A240"/>
      <c r="B240"/>
      <c r="C240"/>
      <c r="D240"/>
      <c r="E240"/>
    </row>
    <row r="241" spans="1:5" hidden="1">
      <c r="A241"/>
      <c r="B241"/>
      <c r="C241"/>
      <c r="D241"/>
      <c r="E241"/>
    </row>
    <row r="242" spans="1:5" hidden="1">
      <c r="A242"/>
      <c r="B242"/>
      <c r="C242"/>
      <c r="D242"/>
      <c r="E242"/>
    </row>
    <row r="243" spans="1:5" hidden="1">
      <c r="A243"/>
      <c r="B243"/>
      <c r="C243"/>
      <c r="D243"/>
      <c r="E243"/>
    </row>
    <row r="244" spans="1:5" hidden="1">
      <c r="A244"/>
      <c r="B244"/>
      <c r="C244"/>
      <c r="D244"/>
      <c r="E244"/>
    </row>
    <row r="245" spans="1:5" hidden="1">
      <c r="A245"/>
      <c r="B245"/>
      <c r="C245"/>
      <c r="D245"/>
      <c r="E245"/>
    </row>
    <row r="246" spans="1:5" hidden="1">
      <c r="A246"/>
      <c r="B246"/>
      <c r="C246"/>
      <c r="D246"/>
      <c r="E246"/>
    </row>
    <row r="247" spans="1:5" hidden="1">
      <c r="A247"/>
      <c r="B247"/>
      <c r="C247"/>
      <c r="D247"/>
      <c r="E247"/>
    </row>
    <row r="248" spans="1:5" hidden="1">
      <c r="A248"/>
      <c r="B248"/>
      <c r="C248"/>
      <c r="D248"/>
      <c r="E248"/>
    </row>
    <row r="249" spans="1:5" hidden="1">
      <c r="A249"/>
      <c r="B249"/>
      <c r="C249"/>
      <c r="D249"/>
      <c r="E249"/>
    </row>
    <row r="250" spans="1:5" hidden="1">
      <c r="A250"/>
      <c r="B250"/>
      <c r="C250"/>
      <c r="D250"/>
      <c r="E250"/>
    </row>
    <row r="251" spans="1:5" hidden="1">
      <c r="A251"/>
      <c r="B251"/>
      <c r="C251"/>
      <c r="D251"/>
      <c r="E251"/>
    </row>
    <row r="252" spans="1:5" hidden="1">
      <c r="A252"/>
      <c r="B252"/>
      <c r="C252"/>
      <c r="D252"/>
      <c r="E252"/>
    </row>
    <row r="253" spans="1:5" hidden="1">
      <c r="A253"/>
      <c r="B253"/>
      <c r="C253"/>
      <c r="D253"/>
      <c r="E253"/>
    </row>
    <row r="254" spans="1:5" hidden="1">
      <c r="A254"/>
      <c r="B254"/>
      <c r="C254"/>
      <c r="D254"/>
      <c r="E254"/>
    </row>
    <row r="255" spans="1:5" hidden="1">
      <c r="A255"/>
      <c r="B255"/>
      <c r="C255"/>
      <c r="D255"/>
      <c r="E255"/>
    </row>
    <row r="256" spans="1:5" hidden="1">
      <c r="A256"/>
      <c r="B256"/>
      <c r="C256"/>
      <c r="D256"/>
      <c r="E256"/>
    </row>
    <row r="257" spans="1:5" hidden="1">
      <c r="A257"/>
      <c r="B257"/>
      <c r="C257"/>
      <c r="D257"/>
      <c r="E257"/>
    </row>
    <row r="258" spans="1:5" hidden="1">
      <c r="A258"/>
      <c r="B258"/>
      <c r="C258"/>
      <c r="D258"/>
      <c r="E258"/>
    </row>
    <row r="259" spans="1:5" hidden="1">
      <c r="A259"/>
      <c r="B259"/>
      <c r="C259"/>
      <c r="D259"/>
      <c r="E259"/>
    </row>
    <row r="260" spans="1:5" hidden="1">
      <c r="A260"/>
      <c r="B260"/>
      <c r="C260"/>
      <c r="D260"/>
      <c r="E260"/>
    </row>
    <row r="261" spans="1:5" hidden="1">
      <c r="A261"/>
      <c r="B261"/>
      <c r="C261"/>
      <c r="D261"/>
      <c r="E261"/>
    </row>
    <row r="262" spans="1:5" hidden="1">
      <c r="A262"/>
      <c r="B262"/>
      <c r="C262"/>
      <c r="D262"/>
      <c r="E262"/>
    </row>
    <row r="263" spans="1:5" hidden="1">
      <c r="A263"/>
      <c r="B263"/>
      <c r="C263"/>
      <c r="D263"/>
      <c r="E263"/>
    </row>
    <row r="264" spans="1:5" hidden="1">
      <c r="A264"/>
      <c r="B264"/>
      <c r="C264"/>
      <c r="D264"/>
      <c r="E264"/>
    </row>
    <row r="265" spans="1:5" hidden="1">
      <c r="A265"/>
      <c r="B265"/>
      <c r="C265"/>
      <c r="D265"/>
      <c r="E265"/>
    </row>
    <row r="266" spans="1:5" hidden="1">
      <c r="A266"/>
      <c r="B266"/>
      <c r="C266"/>
      <c r="D266"/>
      <c r="E266"/>
    </row>
    <row r="267" spans="1:5" hidden="1">
      <c r="A267"/>
      <c r="B267"/>
      <c r="C267"/>
      <c r="D267"/>
      <c r="E267"/>
    </row>
    <row r="268" spans="1:5" hidden="1">
      <c r="A268"/>
      <c r="B268"/>
      <c r="C268"/>
      <c r="D268"/>
      <c r="E268"/>
    </row>
    <row r="269" spans="1:5" hidden="1">
      <c r="A269"/>
      <c r="B269"/>
      <c r="C269"/>
      <c r="D269"/>
      <c r="E269"/>
    </row>
    <row r="270" spans="1:5" hidden="1">
      <c r="A270"/>
      <c r="B270"/>
      <c r="C270"/>
      <c r="D270"/>
      <c r="E270"/>
    </row>
    <row r="271" spans="1:5" hidden="1">
      <c r="A271"/>
      <c r="B271"/>
      <c r="C271"/>
      <c r="D271"/>
      <c r="E271"/>
    </row>
    <row r="272" spans="1:5" hidden="1">
      <c r="A272"/>
      <c r="B272"/>
      <c r="C272"/>
      <c r="D272"/>
      <c r="E272"/>
    </row>
    <row r="273" spans="1:5" hidden="1">
      <c r="A273"/>
      <c r="B273"/>
      <c r="C273"/>
      <c r="D273"/>
      <c r="E273"/>
    </row>
    <row r="274" spans="1:5" hidden="1">
      <c r="A274"/>
      <c r="B274"/>
      <c r="C274"/>
      <c r="D274"/>
      <c r="E274"/>
    </row>
    <row r="275" spans="1:5" hidden="1">
      <c r="A275"/>
      <c r="B275"/>
      <c r="C275"/>
      <c r="D275"/>
      <c r="E275"/>
    </row>
    <row r="276" spans="1:5" hidden="1">
      <c r="A276"/>
      <c r="B276"/>
      <c r="C276"/>
      <c r="D276"/>
      <c r="E276"/>
    </row>
    <row r="277" spans="1:5" hidden="1">
      <c r="A277"/>
      <c r="B277"/>
      <c r="C277"/>
      <c r="D277"/>
      <c r="E277"/>
    </row>
    <row r="278" spans="1:5" hidden="1">
      <c r="A278"/>
      <c r="B278"/>
      <c r="C278"/>
      <c r="D278"/>
      <c r="E278"/>
    </row>
    <row r="279" spans="1:5" hidden="1">
      <c r="A279"/>
      <c r="B279"/>
      <c r="C279"/>
      <c r="D279"/>
      <c r="E279"/>
    </row>
    <row r="280" spans="1:5" hidden="1">
      <c r="A280"/>
      <c r="B280"/>
      <c r="C280"/>
      <c r="D280"/>
      <c r="E280"/>
    </row>
    <row r="281" spans="1:5" hidden="1">
      <c r="A281"/>
      <c r="B281"/>
      <c r="C281"/>
      <c r="D281"/>
      <c r="E281"/>
    </row>
    <row r="282" spans="1:5" hidden="1">
      <c r="A282"/>
      <c r="B282"/>
      <c r="C282"/>
      <c r="D282"/>
      <c r="E282"/>
    </row>
    <row r="283" spans="1:5" hidden="1">
      <c r="A283"/>
      <c r="B283"/>
      <c r="C283"/>
      <c r="D283"/>
      <c r="E283"/>
    </row>
    <row r="284" spans="1:5" hidden="1">
      <c r="A284"/>
      <c r="B284"/>
      <c r="C284"/>
      <c r="D284"/>
      <c r="E284"/>
    </row>
    <row r="285" spans="1:5" hidden="1">
      <c r="A285"/>
      <c r="B285"/>
      <c r="C285"/>
      <c r="D285"/>
      <c r="E285"/>
    </row>
    <row r="286" spans="1:5" hidden="1">
      <c r="A286"/>
      <c r="B286"/>
      <c r="C286"/>
      <c r="D286"/>
      <c r="E286"/>
    </row>
    <row r="287" spans="1:5" hidden="1">
      <c r="A287"/>
      <c r="B287"/>
      <c r="C287"/>
      <c r="D287"/>
      <c r="E287"/>
    </row>
    <row r="288" spans="1:5" hidden="1">
      <c r="A288"/>
      <c r="B288"/>
      <c r="C288"/>
      <c r="D288"/>
      <c r="E288"/>
    </row>
    <row r="289" spans="1:5" hidden="1">
      <c r="A289"/>
      <c r="B289"/>
      <c r="C289"/>
      <c r="D289"/>
      <c r="E289"/>
    </row>
    <row r="290" spans="1:5" hidden="1">
      <c r="A290"/>
      <c r="B290"/>
      <c r="C290"/>
      <c r="D290"/>
      <c r="E290"/>
    </row>
    <row r="291" spans="1:5" hidden="1">
      <c r="A291"/>
      <c r="B291"/>
      <c r="C291"/>
      <c r="D291"/>
      <c r="E291"/>
    </row>
    <row r="292" spans="1:5" hidden="1">
      <c r="A292"/>
      <c r="B292"/>
      <c r="C292"/>
      <c r="D292"/>
      <c r="E292"/>
    </row>
    <row r="293" spans="1:5" hidden="1">
      <c r="A293"/>
      <c r="B293"/>
      <c r="C293"/>
      <c r="D293"/>
      <c r="E293"/>
    </row>
    <row r="294" spans="1:5" hidden="1">
      <c r="A294"/>
      <c r="B294"/>
      <c r="C294"/>
      <c r="D294"/>
      <c r="E294"/>
    </row>
    <row r="295" spans="1:5" hidden="1">
      <c r="A295"/>
      <c r="B295"/>
      <c r="C295"/>
      <c r="D295"/>
      <c r="E295"/>
    </row>
    <row r="296" spans="1:5" hidden="1">
      <c r="A296"/>
      <c r="B296"/>
      <c r="C296"/>
      <c r="D296"/>
      <c r="E296"/>
    </row>
    <row r="297" spans="1:5" hidden="1">
      <c r="A297"/>
      <c r="B297"/>
      <c r="C297"/>
      <c r="D297"/>
      <c r="E297"/>
    </row>
    <row r="298" spans="1:5" hidden="1">
      <c r="A298"/>
      <c r="B298"/>
      <c r="C298"/>
      <c r="D298"/>
      <c r="E298"/>
    </row>
    <row r="299" spans="1:5" hidden="1">
      <c r="A299"/>
      <c r="B299"/>
      <c r="C299"/>
      <c r="D299"/>
      <c r="E299"/>
    </row>
    <row r="300" spans="1:5" hidden="1">
      <c r="A300"/>
      <c r="B300"/>
      <c r="C300"/>
      <c r="D300"/>
      <c r="E300"/>
    </row>
    <row r="301" spans="1:5" hidden="1">
      <c r="A301"/>
      <c r="B301"/>
      <c r="C301"/>
      <c r="D301"/>
      <c r="E301"/>
    </row>
    <row r="302" spans="1:5" hidden="1">
      <c r="A302"/>
      <c r="B302"/>
      <c r="C302"/>
      <c r="D302"/>
      <c r="E302"/>
    </row>
    <row r="303" spans="1:5" hidden="1">
      <c r="A303"/>
      <c r="B303"/>
      <c r="C303"/>
      <c r="D303"/>
      <c r="E303"/>
    </row>
    <row r="304" spans="1:5" hidden="1">
      <c r="A304"/>
      <c r="B304"/>
      <c r="C304"/>
      <c r="D304"/>
      <c r="E304"/>
    </row>
    <row r="305" spans="1:5" hidden="1">
      <c r="A305"/>
      <c r="B305"/>
      <c r="C305"/>
      <c r="D305"/>
      <c r="E305"/>
    </row>
    <row r="306" spans="1:5" hidden="1">
      <c r="A306"/>
      <c r="B306"/>
      <c r="C306"/>
      <c r="D306"/>
      <c r="E306"/>
    </row>
    <row r="307" spans="1:5" hidden="1">
      <c r="A307"/>
      <c r="B307"/>
      <c r="C307"/>
      <c r="D307"/>
      <c r="E307"/>
    </row>
    <row r="308" spans="1:5" hidden="1">
      <c r="A308"/>
      <c r="B308"/>
      <c r="C308"/>
      <c r="D308"/>
      <c r="E308"/>
    </row>
    <row r="309" spans="1:5" hidden="1">
      <c r="A309"/>
      <c r="B309"/>
      <c r="C309"/>
      <c r="D309"/>
      <c r="E309"/>
    </row>
    <row r="310" spans="1:5" hidden="1">
      <c r="A310"/>
      <c r="B310"/>
      <c r="C310"/>
      <c r="D310"/>
      <c r="E310"/>
    </row>
    <row r="311" spans="1:5" hidden="1">
      <c r="A311"/>
      <c r="B311"/>
      <c r="C311"/>
      <c r="D311"/>
      <c r="E311"/>
    </row>
    <row r="312" spans="1:5" hidden="1">
      <c r="A312"/>
      <c r="B312"/>
      <c r="C312"/>
      <c r="D312"/>
      <c r="E312"/>
    </row>
    <row r="313" spans="1:5" hidden="1">
      <c r="A313"/>
      <c r="B313"/>
      <c r="C313"/>
      <c r="D313"/>
      <c r="E313"/>
    </row>
    <row r="314" spans="1:5" hidden="1">
      <c r="A314"/>
      <c r="B314"/>
      <c r="C314"/>
      <c r="D314"/>
      <c r="E314"/>
    </row>
    <row r="315" spans="1:5" hidden="1">
      <c r="A315"/>
      <c r="B315"/>
      <c r="C315"/>
      <c r="D315"/>
      <c r="E315"/>
    </row>
    <row r="316" spans="1:5" hidden="1">
      <c r="A316"/>
      <c r="B316"/>
      <c r="C316"/>
      <c r="D316"/>
      <c r="E316"/>
    </row>
    <row r="317" spans="1:5" hidden="1">
      <c r="A317"/>
      <c r="B317"/>
      <c r="C317"/>
      <c r="D317"/>
      <c r="E317"/>
    </row>
    <row r="318" spans="1:5" hidden="1">
      <c r="A318"/>
      <c r="B318"/>
      <c r="C318"/>
      <c r="D318"/>
      <c r="E318"/>
    </row>
    <row r="319" spans="1:5" hidden="1">
      <c r="A319"/>
      <c r="B319"/>
      <c r="C319"/>
      <c r="D319"/>
      <c r="E319"/>
    </row>
    <row r="320" spans="1:5" hidden="1">
      <c r="A320"/>
      <c r="B320"/>
      <c r="C320"/>
      <c r="D320"/>
      <c r="E320"/>
    </row>
    <row r="321" spans="1:5" hidden="1">
      <c r="A321"/>
      <c r="B321"/>
      <c r="C321"/>
      <c r="D321"/>
      <c r="E321"/>
    </row>
    <row r="322" spans="1:5" hidden="1">
      <c r="A322"/>
      <c r="B322"/>
      <c r="C322"/>
      <c r="D322"/>
      <c r="E322"/>
    </row>
    <row r="323" spans="1:5" hidden="1">
      <c r="A323"/>
      <c r="B323"/>
      <c r="C323"/>
      <c r="D323"/>
      <c r="E323"/>
    </row>
    <row r="324" spans="1:5" hidden="1">
      <c r="A324"/>
      <c r="B324"/>
      <c r="C324"/>
      <c r="D324"/>
      <c r="E324"/>
    </row>
    <row r="325" spans="1:5" hidden="1">
      <c r="A325"/>
      <c r="B325"/>
      <c r="C325"/>
      <c r="D325"/>
      <c r="E325"/>
    </row>
    <row r="326" spans="1:5" hidden="1">
      <c r="A326"/>
      <c r="B326"/>
      <c r="C326"/>
      <c r="D326"/>
      <c r="E326"/>
    </row>
    <row r="327" spans="1:5" hidden="1">
      <c r="A327"/>
      <c r="B327"/>
      <c r="C327"/>
      <c r="D327"/>
      <c r="E327"/>
    </row>
    <row r="328" spans="1:5" hidden="1">
      <c r="A328"/>
      <c r="B328"/>
      <c r="C328"/>
      <c r="D328"/>
      <c r="E328"/>
    </row>
    <row r="329" spans="1:5" hidden="1">
      <c r="A329"/>
      <c r="B329"/>
      <c r="C329"/>
      <c r="D329"/>
      <c r="E329"/>
    </row>
    <row r="330" spans="1:5" hidden="1">
      <c r="A330"/>
      <c r="B330"/>
      <c r="C330"/>
      <c r="D330"/>
      <c r="E330"/>
    </row>
    <row r="331" spans="1:5" hidden="1">
      <c r="A331"/>
      <c r="B331"/>
      <c r="C331"/>
      <c r="D331"/>
      <c r="E331"/>
    </row>
    <row r="332" spans="1:5" hidden="1">
      <c r="A332"/>
      <c r="B332"/>
      <c r="C332"/>
      <c r="D332"/>
      <c r="E332"/>
    </row>
    <row r="333" spans="1:5" hidden="1">
      <c r="A333"/>
      <c r="B333"/>
      <c r="C333"/>
      <c r="D333"/>
      <c r="E333"/>
    </row>
    <row r="334" spans="1:5" hidden="1">
      <c r="A334"/>
      <c r="B334"/>
      <c r="C334"/>
      <c r="D334"/>
      <c r="E334"/>
    </row>
    <row r="335" spans="1:5" hidden="1">
      <c r="A335"/>
      <c r="B335"/>
      <c r="C335"/>
      <c r="D335"/>
      <c r="E335"/>
    </row>
    <row r="336" spans="1:5" hidden="1">
      <c r="A336"/>
      <c r="B336"/>
      <c r="C336"/>
      <c r="D336"/>
      <c r="E336"/>
    </row>
    <row r="337" spans="1:5" hidden="1">
      <c r="A337"/>
      <c r="B337"/>
      <c r="C337"/>
      <c r="D337"/>
      <c r="E337"/>
    </row>
    <row r="338" spans="1:5" hidden="1">
      <c r="A338"/>
      <c r="B338"/>
      <c r="C338"/>
      <c r="D338"/>
      <c r="E338"/>
    </row>
    <row r="339" spans="1:5" hidden="1">
      <c r="A339"/>
      <c r="B339"/>
      <c r="C339"/>
      <c r="D339"/>
      <c r="E339"/>
    </row>
    <row r="340" spans="1:5" hidden="1">
      <c r="A340"/>
      <c r="B340"/>
      <c r="C340"/>
      <c r="D340"/>
      <c r="E340"/>
    </row>
    <row r="341" spans="1:5" hidden="1">
      <c r="A341"/>
      <c r="B341"/>
      <c r="C341"/>
      <c r="D341"/>
      <c r="E341"/>
    </row>
    <row r="342" spans="1:5" hidden="1">
      <c r="A342"/>
      <c r="B342"/>
      <c r="C342"/>
      <c r="D342"/>
      <c r="E342"/>
    </row>
    <row r="343" spans="1:5" hidden="1">
      <c r="A343"/>
      <c r="B343"/>
      <c r="C343"/>
      <c r="D343"/>
      <c r="E343"/>
    </row>
    <row r="344" spans="1:5" hidden="1">
      <c r="A344"/>
      <c r="B344"/>
      <c r="C344"/>
      <c r="D344"/>
      <c r="E344"/>
    </row>
    <row r="345" spans="1:5" hidden="1">
      <c r="A345"/>
      <c r="B345"/>
      <c r="C345"/>
      <c r="D345"/>
      <c r="E345"/>
    </row>
    <row r="346" spans="1:5" hidden="1">
      <c r="A346"/>
      <c r="B346"/>
      <c r="C346"/>
      <c r="D346"/>
      <c r="E346"/>
    </row>
    <row r="347" spans="1:5" hidden="1">
      <c r="A347"/>
      <c r="B347"/>
      <c r="C347"/>
      <c r="D347"/>
      <c r="E347"/>
    </row>
    <row r="348" spans="1:5" hidden="1">
      <c r="A348"/>
      <c r="B348"/>
      <c r="C348"/>
      <c r="D348"/>
      <c r="E348"/>
    </row>
    <row r="349" spans="1:5" hidden="1">
      <c r="A349"/>
      <c r="B349"/>
      <c r="C349"/>
      <c r="D349"/>
      <c r="E349"/>
    </row>
    <row r="350" spans="1:5" hidden="1">
      <c r="A350"/>
      <c r="B350"/>
      <c r="C350"/>
      <c r="D350"/>
      <c r="E350"/>
    </row>
    <row r="351" spans="1:5" hidden="1">
      <c r="A351"/>
      <c r="B351"/>
      <c r="C351"/>
      <c r="D351"/>
      <c r="E351"/>
    </row>
    <row r="352" spans="1:5" hidden="1">
      <c r="A352"/>
      <c r="B352"/>
      <c r="C352"/>
      <c r="D352"/>
      <c r="E352"/>
    </row>
    <row r="353" spans="1:5" hidden="1">
      <c r="A353"/>
      <c r="B353"/>
      <c r="C353"/>
      <c r="D353"/>
      <c r="E353"/>
    </row>
    <row r="354" spans="1:5" hidden="1">
      <c r="A354"/>
      <c r="B354"/>
      <c r="C354"/>
      <c r="D354"/>
      <c r="E354"/>
    </row>
    <row r="355" spans="1:5" hidden="1">
      <c r="A355"/>
      <c r="B355"/>
      <c r="C355"/>
      <c r="D355"/>
      <c r="E355"/>
    </row>
    <row r="356" spans="1:5" hidden="1">
      <c r="A356"/>
      <c r="B356"/>
      <c r="C356"/>
      <c r="D356"/>
      <c r="E356"/>
    </row>
    <row r="357" spans="1:5" hidden="1">
      <c r="A357"/>
      <c r="B357"/>
      <c r="C357"/>
      <c r="D357"/>
      <c r="E357"/>
    </row>
    <row r="358" spans="1:5" hidden="1">
      <c r="A358"/>
      <c r="B358"/>
      <c r="C358"/>
      <c r="D358"/>
      <c r="E358"/>
    </row>
    <row r="359" spans="1:5" hidden="1">
      <c r="A359"/>
      <c r="B359"/>
      <c r="C359"/>
      <c r="D359"/>
      <c r="E359"/>
    </row>
    <row r="360" spans="1:5" hidden="1">
      <c r="A360"/>
      <c r="B360"/>
      <c r="C360"/>
      <c r="D360"/>
      <c r="E360"/>
    </row>
    <row r="361" spans="1:5" hidden="1">
      <c r="A361"/>
      <c r="B361"/>
      <c r="C361"/>
      <c r="D361"/>
      <c r="E361"/>
    </row>
    <row r="362" spans="1:5" hidden="1">
      <c r="A362"/>
      <c r="B362"/>
      <c r="C362"/>
      <c r="D362"/>
      <c r="E362"/>
    </row>
    <row r="363" spans="1:5" hidden="1">
      <c r="A363"/>
      <c r="B363"/>
      <c r="C363"/>
      <c r="D363"/>
      <c r="E363"/>
    </row>
    <row r="364" spans="1:5" hidden="1">
      <c r="A364"/>
      <c r="B364"/>
      <c r="C364"/>
      <c r="D364"/>
      <c r="E364"/>
    </row>
    <row r="365" spans="1:5" hidden="1">
      <c r="A365"/>
      <c r="B365"/>
      <c r="C365"/>
      <c r="D365"/>
      <c r="E365"/>
    </row>
    <row r="366" spans="1:5" hidden="1">
      <c r="A366"/>
      <c r="B366"/>
      <c r="C366"/>
      <c r="D366"/>
      <c r="E366"/>
    </row>
    <row r="367" spans="1:5" hidden="1">
      <c r="A367"/>
      <c r="B367"/>
      <c r="C367"/>
      <c r="D367"/>
      <c r="E367"/>
    </row>
    <row r="368" spans="1:5" hidden="1">
      <c r="A368"/>
      <c r="B368"/>
      <c r="C368"/>
      <c r="D368"/>
      <c r="E368"/>
    </row>
    <row r="369" spans="1:5" hidden="1">
      <c r="A369"/>
      <c r="B369"/>
      <c r="C369"/>
      <c r="D369"/>
      <c r="E369"/>
    </row>
    <row r="370" spans="1:5" hidden="1">
      <c r="A370"/>
      <c r="B370"/>
      <c r="C370"/>
      <c r="D370"/>
      <c r="E370"/>
    </row>
    <row r="371" spans="1:5" hidden="1">
      <c r="A371"/>
      <c r="B371"/>
      <c r="C371"/>
      <c r="D371"/>
      <c r="E371"/>
    </row>
    <row r="372" spans="1:5" hidden="1">
      <c r="A372"/>
      <c r="B372"/>
      <c r="C372"/>
      <c r="D372"/>
      <c r="E372"/>
    </row>
    <row r="373" spans="1:5" hidden="1">
      <c r="A373"/>
      <c r="B373"/>
      <c r="C373"/>
      <c r="D373"/>
      <c r="E373"/>
    </row>
    <row r="374" spans="1:5" hidden="1">
      <c r="A374"/>
      <c r="B374"/>
      <c r="C374"/>
      <c r="D374"/>
      <c r="E374"/>
    </row>
    <row r="375" spans="1:5" hidden="1">
      <c r="A375"/>
      <c r="B375"/>
      <c r="C375"/>
      <c r="D375"/>
      <c r="E375"/>
    </row>
    <row r="376" spans="1:5" hidden="1">
      <c r="A376"/>
      <c r="B376"/>
      <c r="C376"/>
      <c r="D376"/>
      <c r="E376"/>
    </row>
    <row r="377" spans="1:5" hidden="1">
      <c r="A377"/>
      <c r="B377"/>
      <c r="C377"/>
      <c r="D377"/>
      <c r="E377"/>
    </row>
    <row r="378" spans="1:5" hidden="1">
      <c r="A378"/>
      <c r="B378"/>
      <c r="C378"/>
      <c r="D378"/>
      <c r="E378"/>
    </row>
    <row r="379" spans="1:5" hidden="1">
      <c r="A379"/>
      <c r="B379"/>
      <c r="C379"/>
      <c r="D379"/>
      <c r="E379"/>
    </row>
    <row r="380" spans="1:5" hidden="1">
      <c r="A380"/>
      <c r="B380"/>
      <c r="C380"/>
      <c r="D380"/>
      <c r="E380"/>
    </row>
    <row r="381" spans="1:5" hidden="1">
      <c r="A381"/>
      <c r="B381"/>
      <c r="C381"/>
      <c r="D381"/>
      <c r="E381"/>
    </row>
    <row r="382" spans="1:5" hidden="1">
      <c r="A382"/>
      <c r="B382"/>
      <c r="C382"/>
      <c r="D382"/>
      <c r="E382"/>
    </row>
    <row r="383" spans="1:5" hidden="1">
      <c r="A383"/>
      <c r="B383"/>
      <c r="C383"/>
      <c r="D383"/>
      <c r="E383"/>
    </row>
    <row r="384" spans="1:5" hidden="1">
      <c r="A384"/>
      <c r="B384"/>
      <c r="C384"/>
      <c r="D384"/>
      <c r="E384"/>
    </row>
    <row r="385" spans="1:5" hidden="1">
      <c r="A385"/>
      <c r="B385"/>
      <c r="C385"/>
      <c r="D385"/>
      <c r="E385"/>
    </row>
    <row r="386" spans="1:5" hidden="1">
      <c r="A386"/>
      <c r="B386"/>
      <c r="C386"/>
      <c r="D386"/>
      <c r="E386"/>
    </row>
    <row r="387" spans="1:5" hidden="1">
      <c r="A387"/>
      <c r="B387"/>
      <c r="C387"/>
      <c r="D387"/>
      <c r="E387"/>
    </row>
    <row r="388" spans="1:5" hidden="1">
      <c r="A388"/>
      <c r="B388"/>
      <c r="C388"/>
      <c r="D388"/>
      <c r="E388"/>
    </row>
    <row r="389" spans="1:5" hidden="1">
      <c r="A389"/>
      <c r="B389"/>
      <c r="C389"/>
      <c r="D389"/>
      <c r="E389"/>
    </row>
    <row r="390" spans="1:5" hidden="1">
      <c r="A390"/>
      <c r="B390"/>
      <c r="C390"/>
      <c r="D390"/>
      <c r="E390"/>
    </row>
    <row r="391" spans="1:5" hidden="1">
      <c r="A391"/>
      <c r="B391"/>
      <c r="C391"/>
      <c r="D391"/>
      <c r="E391"/>
    </row>
    <row r="392" spans="1:5" hidden="1">
      <c r="A392"/>
      <c r="B392"/>
      <c r="C392"/>
      <c r="D392"/>
      <c r="E392"/>
    </row>
    <row r="393" spans="1:5" hidden="1">
      <c r="A393"/>
      <c r="B393"/>
      <c r="C393"/>
      <c r="D393"/>
      <c r="E393"/>
    </row>
    <row r="394" spans="1:5" hidden="1">
      <c r="A394"/>
      <c r="B394"/>
      <c r="C394"/>
      <c r="D394"/>
      <c r="E394"/>
    </row>
    <row r="395" spans="1:5" hidden="1">
      <c r="A395"/>
      <c r="B395"/>
      <c r="C395"/>
      <c r="D395"/>
      <c r="E395"/>
    </row>
    <row r="396" spans="1:5" hidden="1">
      <c r="A396"/>
      <c r="B396"/>
      <c r="C396"/>
      <c r="D396"/>
      <c r="E396"/>
    </row>
    <row r="397" spans="1:5" hidden="1">
      <c r="A397"/>
      <c r="B397"/>
      <c r="C397"/>
      <c r="D397"/>
      <c r="E397"/>
    </row>
    <row r="398" spans="1:5" hidden="1">
      <c r="A398"/>
      <c r="B398"/>
      <c r="C398"/>
      <c r="D398"/>
      <c r="E398"/>
    </row>
    <row r="399" spans="1:5" hidden="1">
      <c r="A399"/>
      <c r="B399"/>
      <c r="C399"/>
      <c r="D399"/>
      <c r="E399"/>
    </row>
    <row r="400" spans="1:5" hidden="1">
      <c r="A400"/>
      <c r="B400"/>
      <c r="C400"/>
      <c r="D400"/>
      <c r="E400"/>
    </row>
    <row r="401" spans="1:5" hidden="1">
      <c r="A401"/>
      <c r="B401"/>
      <c r="C401"/>
      <c r="D401"/>
      <c r="E401"/>
    </row>
    <row r="402" spans="1:5" hidden="1">
      <c r="A402"/>
      <c r="B402"/>
      <c r="C402"/>
      <c r="D402"/>
      <c r="E402"/>
    </row>
    <row r="403" spans="1:5" hidden="1">
      <c r="A403"/>
      <c r="B403"/>
      <c r="C403"/>
      <c r="D403"/>
      <c r="E403"/>
    </row>
    <row r="404" spans="1:5" hidden="1">
      <c r="A404"/>
      <c r="B404"/>
      <c r="C404"/>
      <c r="D404"/>
      <c r="E404"/>
    </row>
    <row r="405" spans="1:5" hidden="1">
      <c r="A405"/>
      <c r="B405"/>
      <c r="C405"/>
      <c r="D405"/>
      <c r="E405"/>
    </row>
    <row r="406" spans="1:5" hidden="1">
      <c r="A406"/>
      <c r="B406"/>
      <c r="C406"/>
      <c r="D406"/>
      <c r="E406"/>
    </row>
    <row r="407" spans="1:5" hidden="1">
      <c r="A407"/>
      <c r="B407"/>
      <c r="C407"/>
      <c r="D407"/>
      <c r="E407"/>
    </row>
    <row r="408" spans="1:5" hidden="1">
      <c r="A408"/>
      <c r="B408"/>
      <c r="C408"/>
      <c r="D408"/>
      <c r="E408"/>
    </row>
    <row r="409" spans="1:5" hidden="1">
      <c r="A409"/>
      <c r="B409"/>
      <c r="C409"/>
      <c r="D409"/>
      <c r="E409"/>
    </row>
    <row r="410" spans="1:5" hidden="1">
      <c r="A410"/>
      <c r="B410"/>
      <c r="C410"/>
      <c r="D410"/>
      <c r="E410"/>
    </row>
    <row r="411" spans="1:5" hidden="1">
      <c r="A411"/>
      <c r="B411"/>
      <c r="C411"/>
      <c r="D411"/>
      <c r="E411"/>
    </row>
    <row r="412" spans="1:5" hidden="1">
      <c r="A412"/>
      <c r="B412"/>
      <c r="C412"/>
      <c r="D412"/>
      <c r="E412"/>
    </row>
    <row r="413" spans="1:5" hidden="1">
      <c r="A413"/>
      <c r="B413"/>
      <c r="C413"/>
      <c r="D413"/>
      <c r="E413"/>
    </row>
    <row r="414" spans="1:5" hidden="1">
      <c r="A414"/>
      <c r="B414"/>
      <c r="C414"/>
      <c r="D414"/>
      <c r="E414"/>
    </row>
    <row r="415" spans="1:5" hidden="1">
      <c r="A415"/>
      <c r="B415"/>
      <c r="C415"/>
      <c r="D415"/>
      <c r="E415"/>
    </row>
    <row r="416" spans="1:5" hidden="1">
      <c r="A416"/>
      <c r="B416"/>
      <c r="C416"/>
      <c r="D416"/>
      <c r="E416"/>
    </row>
    <row r="417" spans="1:5" hidden="1">
      <c r="A417"/>
      <c r="B417"/>
      <c r="C417"/>
      <c r="D417"/>
      <c r="E417"/>
    </row>
    <row r="418" spans="1:5" hidden="1">
      <c r="A418"/>
      <c r="B418"/>
      <c r="C418"/>
      <c r="D418"/>
      <c r="E418"/>
    </row>
    <row r="419" spans="1:5" hidden="1">
      <c r="A419"/>
      <c r="B419"/>
      <c r="C419"/>
      <c r="D419"/>
      <c r="E419"/>
    </row>
    <row r="420" spans="1:5" hidden="1">
      <c r="A420"/>
      <c r="B420"/>
      <c r="C420"/>
      <c r="D420"/>
      <c r="E420"/>
    </row>
    <row r="421" spans="1:5" hidden="1">
      <c r="A421"/>
      <c r="B421"/>
      <c r="C421"/>
      <c r="D421"/>
      <c r="E421"/>
    </row>
    <row r="422" spans="1:5" hidden="1">
      <c r="A422"/>
      <c r="B422"/>
      <c r="C422"/>
      <c r="D422"/>
      <c r="E422"/>
    </row>
    <row r="423" spans="1:5" hidden="1">
      <c r="A423"/>
      <c r="B423"/>
      <c r="C423"/>
      <c r="D423"/>
      <c r="E423"/>
    </row>
    <row r="424" spans="1:5" hidden="1">
      <c r="A424"/>
      <c r="B424"/>
      <c r="C424"/>
      <c r="D424"/>
      <c r="E424"/>
    </row>
    <row r="425" spans="1:5" hidden="1">
      <c r="A425"/>
      <c r="B425"/>
      <c r="C425"/>
      <c r="D425"/>
      <c r="E425"/>
    </row>
    <row r="426" spans="1:5" hidden="1">
      <c r="A426"/>
      <c r="B426"/>
      <c r="C426"/>
      <c r="D426"/>
      <c r="E426"/>
    </row>
    <row r="427" spans="1:5" hidden="1">
      <c r="A427"/>
      <c r="B427"/>
      <c r="C427"/>
      <c r="D427"/>
      <c r="E427"/>
    </row>
    <row r="428" spans="1:5" hidden="1">
      <c r="A428"/>
      <c r="B428"/>
      <c r="C428"/>
      <c r="D428"/>
      <c r="E428"/>
    </row>
    <row r="429" spans="1:5" hidden="1">
      <c r="A429"/>
      <c r="B429"/>
      <c r="C429"/>
      <c r="D429"/>
      <c r="E429"/>
    </row>
    <row r="430" spans="1:5" hidden="1">
      <c r="A430"/>
      <c r="B430"/>
      <c r="C430"/>
      <c r="D430"/>
      <c r="E430"/>
    </row>
    <row r="431" spans="1:5" hidden="1">
      <c r="A431"/>
      <c r="B431"/>
      <c r="C431"/>
      <c r="D431"/>
      <c r="E431"/>
    </row>
    <row r="432" spans="1:5" hidden="1">
      <c r="A432"/>
      <c r="B432"/>
      <c r="C432"/>
      <c r="D432"/>
      <c r="E432"/>
    </row>
    <row r="433" spans="1:5" hidden="1">
      <c r="A433"/>
      <c r="B433"/>
      <c r="C433"/>
      <c r="D433"/>
      <c r="E433"/>
    </row>
    <row r="434" spans="1:5" hidden="1">
      <c r="A434"/>
      <c r="B434"/>
      <c r="C434"/>
      <c r="D434"/>
      <c r="E434"/>
    </row>
    <row r="435" spans="1:5" hidden="1">
      <c r="A435"/>
      <c r="B435"/>
      <c r="C435"/>
      <c r="D435"/>
      <c r="E435"/>
    </row>
    <row r="436" spans="1:5" hidden="1">
      <c r="A436"/>
      <c r="B436"/>
      <c r="C436"/>
      <c r="D436"/>
      <c r="E436"/>
    </row>
    <row r="437" spans="1:5" hidden="1">
      <c r="A437"/>
      <c r="B437"/>
      <c r="C437"/>
      <c r="D437"/>
      <c r="E437"/>
    </row>
    <row r="438" spans="1:5" hidden="1">
      <c r="A438"/>
      <c r="B438"/>
      <c r="C438"/>
      <c r="D438"/>
      <c r="E438"/>
    </row>
    <row r="439" spans="1:5" hidden="1">
      <c r="A439"/>
      <c r="B439"/>
      <c r="C439"/>
      <c r="D439"/>
      <c r="E439"/>
    </row>
    <row r="440" spans="1:5" hidden="1">
      <c r="A440"/>
      <c r="B440"/>
      <c r="C440"/>
      <c r="D440"/>
      <c r="E440"/>
    </row>
    <row r="441" spans="1:5" hidden="1">
      <c r="A441"/>
      <c r="B441"/>
      <c r="C441"/>
      <c r="D441"/>
      <c r="E441"/>
    </row>
    <row r="442" spans="1:5" hidden="1">
      <c r="A442"/>
      <c r="B442"/>
      <c r="C442"/>
      <c r="D442"/>
      <c r="E442"/>
    </row>
    <row r="443" spans="1:5" hidden="1">
      <c r="A443"/>
      <c r="B443"/>
      <c r="C443"/>
      <c r="D443"/>
      <c r="E443"/>
    </row>
    <row r="444" spans="1:5" hidden="1">
      <c r="A444"/>
      <c r="B444"/>
      <c r="C444"/>
      <c r="D444"/>
      <c r="E444"/>
    </row>
    <row r="445" spans="1:5" hidden="1">
      <c r="A445"/>
      <c r="B445"/>
      <c r="C445"/>
      <c r="D445"/>
      <c r="E445"/>
    </row>
    <row r="446" spans="1:5" hidden="1">
      <c r="A446"/>
      <c r="B446"/>
      <c r="C446"/>
      <c r="D446"/>
      <c r="E446"/>
    </row>
    <row r="447" spans="1:5" hidden="1">
      <c r="A447"/>
      <c r="B447"/>
      <c r="C447"/>
      <c r="D447"/>
      <c r="E447"/>
    </row>
    <row r="448" spans="1:5" hidden="1">
      <c r="A448"/>
      <c r="B448"/>
      <c r="C448"/>
      <c r="D448"/>
      <c r="E448"/>
    </row>
    <row r="449" spans="1:5" hidden="1">
      <c r="A449"/>
      <c r="B449"/>
      <c r="C449"/>
      <c r="D449"/>
      <c r="E449"/>
    </row>
    <row r="450" spans="1:5" hidden="1">
      <c r="A450"/>
      <c r="B450"/>
      <c r="C450"/>
      <c r="D450"/>
      <c r="E450"/>
    </row>
    <row r="451" spans="1:5" hidden="1">
      <c r="A451"/>
      <c r="B451"/>
      <c r="C451"/>
      <c r="D451"/>
      <c r="E451"/>
    </row>
    <row r="452" spans="1:5" hidden="1">
      <c r="A452"/>
      <c r="B452"/>
      <c r="C452"/>
      <c r="D452"/>
      <c r="E452"/>
    </row>
    <row r="453" spans="1:5" hidden="1">
      <c r="A453"/>
      <c r="B453"/>
      <c r="C453"/>
      <c r="D453"/>
      <c r="E453"/>
    </row>
    <row r="454" spans="1:5" hidden="1">
      <c r="A454"/>
      <c r="B454"/>
      <c r="C454"/>
      <c r="D454"/>
      <c r="E454"/>
    </row>
    <row r="455" spans="1:5" hidden="1">
      <c r="A455"/>
      <c r="B455"/>
      <c r="C455"/>
      <c r="D455"/>
      <c r="E455"/>
    </row>
    <row r="456" spans="1:5" hidden="1">
      <c r="A456"/>
      <c r="B456"/>
      <c r="C456"/>
      <c r="D456"/>
      <c r="E456"/>
    </row>
    <row r="457" spans="1:5" hidden="1">
      <c r="A457"/>
      <c r="B457"/>
      <c r="C457"/>
      <c r="D457"/>
      <c r="E457"/>
    </row>
    <row r="458" spans="1:5" hidden="1">
      <c r="A458"/>
      <c r="B458"/>
      <c r="C458"/>
      <c r="D458"/>
      <c r="E458"/>
    </row>
    <row r="459" spans="1:5" hidden="1">
      <c r="A459"/>
      <c r="B459"/>
      <c r="C459"/>
      <c r="D459"/>
      <c r="E459"/>
    </row>
    <row r="460" spans="1:5" hidden="1">
      <c r="A460"/>
      <c r="B460"/>
      <c r="C460"/>
      <c r="D460"/>
      <c r="E460"/>
    </row>
    <row r="461" spans="1:5" hidden="1">
      <c r="A461"/>
      <c r="B461"/>
      <c r="C461"/>
      <c r="D461"/>
      <c r="E461"/>
    </row>
    <row r="462" spans="1:5" hidden="1">
      <c r="A462"/>
      <c r="B462"/>
      <c r="C462"/>
      <c r="D462"/>
      <c r="E462"/>
    </row>
    <row r="463" spans="1:5" hidden="1">
      <c r="A463"/>
      <c r="B463"/>
      <c r="C463"/>
      <c r="D463"/>
      <c r="E463"/>
    </row>
    <row r="464" spans="1:5" hidden="1">
      <c r="A464"/>
      <c r="B464"/>
      <c r="C464"/>
      <c r="D464"/>
      <c r="E464"/>
    </row>
    <row r="465" spans="1:5" hidden="1">
      <c r="A465"/>
      <c r="B465"/>
      <c r="C465"/>
      <c r="D465"/>
      <c r="E465"/>
    </row>
    <row r="466" spans="1:5" hidden="1">
      <c r="A466"/>
      <c r="B466"/>
      <c r="C466"/>
      <c r="D466"/>
      <c r="E466"/>
    </row>
    <row r="467" spans="1:5" hidden="1">
      <c r="A467"/>
      <c r="B467"/>
      <c r="C467"/>
      <c r="D467"/>
      <c r="E467"/>
    </row>
    <row r="468" spans="1:5" hidden="1">
      <c r="A468"/>
      <c r="B468"/>
      <c r="C468"/>
      <c r="D468"/>
      <c r="E468"/>
    </row>
    <row r="469" spans="1:5" hidden="1">
      <c r="A469"/>
      <c r="B469"/>
      <c r="C469"/>
      <c r="D469"/>
      <c r="E469"/>
    </row>
    <row r="470" spans="1:5" hidden="1">
      <c r="A470"/>
      <c r="B470"/>
      <c r="C470"/>
      <c r="D470"/>
      <c r="E470"/>
    </row>
    <row r="471" spans="1:5" hidden="1">
      <c r="A471"/>
      <c r="B471"/>
      <c r="C471"/>
      <c r="D471"/>
      <c r="E471"/>
    </row>
    <row r="472" spans="1:5" hidden="1">
      <c r="A472"/>
      <c r="B472"/>
      <c r="C472"/>
      <c r="D472"/>
      <c r="E472"/>
    </row>
    <row r="473" spans="1:5" hidden="1">
      <c r="A473"/>
      <c r="B473"/>
      <c r="C473"/>
      <c r="D473"/>
      <c r="E473"/>
    </row>
    <row r="474" spans="1:5" hidden="1">
      <c r="A474"/>
      <c r="B474"/>
      <c r="C474"/>
      <c r="D474"/>
      <c r="E474"/>
    </row>
    <row r="475" spans="1:5" hidden="1">
      <c r="A475"/>
      <c r="B475"/>
      <c r="C475"/>
      <c r="D475"/>
      <c r="E475"/>
    </row>
    <row r="476" spans="1:5" hidden="1">
      <c r="A476"/>
      <c r="B476"/>
      <c r="C476"/>
      <c r="D476"/>
      <c r="E476"/>
    </row>
    <row r="477" spans="1:5" hidden="1">
      <c r="A477"/>
      <c r="B477"/>
      <c r="C477"/>
      <c r="D477"/>
      <c r="E477"/>
    </row>
    <row r="478" spans="1:5" hidden="1">
      <c r="A478"/>
      <c r="B478"/>
      <c r="C478"/>
      <c r="D478"/>
      <c r="E478"/>
    </row>
    <row r="479" spans="1:5" hidden="1">
      <c r="A479"/>
      <c r="B479"/>
      <c r="C479"/>
      <c r="D479"/>
      <c r="E479"/>
    </row>
    <row r="480" spans="1:5" hidden="1">
      <c r="A480"/>
      <c r="B480"/>
      <c r="C480"/>
      <c r="D480"/>
      <c r="E480"/>
    </row>
    <row r="481" spans="1:5" hidden="1">
      <c r="A481"/>
      <c r="B481"/>
      <c r="C481"/>
      <c r="D481"/>
      <c r="E481"/>
    </row>
    <row r="482" spans="1:5" hidden="1">
      <c r="A482"/>
      <c r="B482"/>
      <c r="C482"/>
      <c r="D482"/>
      <c r="E482"/>
    </row>
    <row r="483" spans="1:5" hidden="1">
      <c r="A483"/>
      <c r="B483"/>
      <c r="C483"/>
      <c r="D483"/>
      <c r="E483"/>
    </row>
    <row r="484" spans="1:5" hidden="1">
      <c r="A484"/>
      <c r="B484"/>
      <c r="C484"/>
      <c r="D484"/>
      <c r="E484"/>
    </row>
    <row r="485" spans="1:5" hidden="1">
      <c r="A485"/>
      <c r="B485"/>
      <c r="C485"/>
      <c r="D485"/>
      <c r="E485"/>
    </row>
    <row r="486" spans="1:5" hidden="1">
      <c r="A486"/>
      <c r="B486"/>
      <c r="C486"/>
      <c r="D486"/>
      <c r="E486"/>
    </row>
    <row r="487" spans="1:5" hidden="1">
      <c r="A487"/>
      <c r="B487"/>
      <c r="C487"/>
      <c r="D487"/>
      <c r="E487"/>
    </row>
    <row r="488" spans="1:5" hidden="1">
      <c r="A488"/>
      <c r="B488"/>
      <c r="C488"/>
      <c r="D488"/>
      <c r="E488"/>
    </row>
    <row r="489" spans="1:5" hidden="1">
      <c r="A489"/>
      <c r="B489"/>
      <c r="C489"/>
      <c r="D489"/>
      <c r="E489"/>
    </row>
    <row r="490" spans="1:5">
      <c r="A490"/>
      <c r="B490"/>
      <c r="C490"/>
      <c r="D490"/>
      <c r="E490"/>
    </row>
    <row r="491" spans="1:5">
      <c r="A491"/>
      <c r="B491"/>
      <c r="C491"/>
      <c r="D491"/>
      <c r="E491"/>
    </row>
    <row r="492" spans="1:5">
      <c r="A492"/>
      <c r="B492"/>
      <c r="C492"/>
      <c r="D492"/>
      <c r="E492"/>
    </row>
    <row r="493" spans="1:5">
      <c r="A493"/>
      <c r="B493"/>
      <c r="C493"/>
      <c r="D493"/>
      <c r="E493"/>
    </row>
    <row r="494" spans="1:5">
      <c r="A494"/>
      <c r="B494"/>
      <c r="C494"/>
      <c r="D494"/>
      <c r="E494"/>
    </row>
    <row r="495" spans="1:5">
      <c r="A495"/>
      <c r="B495"/>
      <c r="C495"/>
      <c r="D495"/>
      <c r="E495"/>
    </row>
    <row r="496" spans="1:5">
      <c r="A496"/>
      <c r="B496"/>
      <c r="C496"/>
      <c r="D496"/>
      <c r="E496"/>
    </row>
    <row r="497" spans="1:5">
      <c r="A497"/>
      <c r="B497"/>
      <c r="C497"/>
      <c r="D497"/>
      <c r="E497"/>
    </row>
    <row r="498" spans="1:5">
      <c r="A498"/>
      <c r="B498"/>
      <c r="C498"/>
      <c r="D498"/>
      <c r="E498"/>
    </row>
    <row r="499" spans="1:5">
      <c r="A499"/>
      <c r="B499"/>
      <c r="C499"/>
      <c r="D499"/>
      <c r="E499"/>
    </row>
    <row r="500" spans="1:5">
      <c r="A500"/>
      <c r="B500"/>
      <c r="C500"/>
      <c r="D500"/>
      <c r="E500"/>
    </row>
    <row r="501" spans="1:5">
      <c r="A501"/>
      <c r="B501"/>
      <c r="C501"/>
      <c r="D501"/>
      <c r="E501"/>
    </row>
    <row r="502" spans="1:5">
      <c r="A502"/>
      <c r="B502"/>
      <c r="C502"/>
      <c r="D502"/>
      <c r="E502"/>
    </row>
    <row r="503" spans="1:5">
      <c r="A503"/>
      <c r="B503"/>
      <c r="C503"/>
      <c r="D503"/>
      <c r="E503"/>
    </row>
    <row r="504" spans="1:5">
      <c r="A504"/>
      <c r="B504"/>
      <c r="C504"/>
      <c r="D504"/>
      <c r="E504"/>
    </row>
    <row r="505" spans="1:5">
      <c r="A505"/>
      <c r="B505"/>
      <c r="C505"/>
      <c r="D505"/>
      <c r="E505"/>
    </row>
    <row r="506" spans="1:5">
      <c r="A506"/>
      <c r="B506"/>
      <c r="C506"/>
      <c r="D506"/>
      <c r="E506"/>
    </row>
    <row r="507" spans="1:5">
      <c r="A507"/>
      <c r="B507"/>
      <c r="C507"/>
      <c r="D507"/>
      <c r="E507"/>
    </row>
    <row r="508" spans="1:5">
      <c r="A508"/>
      <c r="B508"/>
      <c r="C508"/>
      <c r="D508"/>
      <c r="E508"/>
    </row>
    <row r="509" spans="1:5">
      <c r="A509"/>
      <c r="B509"/>
      <c r="C509"/>
      <c r="D509"/>
      <c r="E509"/>
    </row>
    <row r="510" spans="1:5">
      <c r="A510"/>
      <c r="B510"/>
      <c r="C510"/>
      <c r="D510"/>
      <c r="E510"/>
    </row>
    <row r="511" spans="1:5">
      <c r="A511"/>
      <c r="B511"/>
      <c r="C511"/>
      <c r="D511"/>
      <c r="E511"/>
    </row>
    <row r="512" spans="1:5">
      <c r="A512"/>
      <c r="B512"/>
      <c r="C512"/>
      <c r="D512"/>
      <c r="E512"/>
    </row>
    <row r="513" spans="1:5">
      <c r="A513"/>
      <c r="B513"/>
      <c r="C513"/>
      <c r="D513"/>
      <c r="E513"/>
    </row>
    <row r="514" spans="1:5">
      <c r="A514"/>
      <c r="B514"/>
      <c r="C514"/>
      <c r="D514"/>
      <c r="E514"/>
    </row>
    <row r="515" spans="1:5">
      <c r="A515"/>
      <c r="B515"/>
      <c r="C515"/>
      <c r="D515"/>
      <c r="E515"/>
    </row>
    <row r="516" spans="1:5">
      <c r="A516"/>
      <c r="B516"/>
      <c r="C516"/>
      <c r="D516"/>
      <c r="E516"/>
    </row>
    <row r="517" spans="1:5">
      <c r="A517"/>
      <c r="B517"/>
      <c r="C517"/>
      <c r="D517"/>
      <c r="E517"/>
    </row>
    <row r="518" spans="1:5">
      <c r="A518"/>
      <c r="B518"/>
      <c r="C518"/>
      <c r="D518"/>
      <c r="E518"/>
    </row>
    <row r="519" spans="1:5">
      <c r="A519"/>
      <c r="B519"/>
      <c r="C519"/>
      <c r="D519"/>
      <c r="E519"/>
    </row>
    <row r="520" spans="1:5">
      <c r="A520"/>
      <c r="B520"/>
      <c r="C520"/>
      <c r="D520"/>
      <c r="E520"/>
    </row>
    <row r="521" spans="1:5">
      <c r="A521"/>
      <c r="B521"/>
      <c r="C521"/>
      <c r="D521"/>
      <c r="E521"/>
    </row>
    <row r="522" spans="1:5">
      <c r="A522"/>
      <c r="B522"/>
      <c r="C522"/>
      <c r="D522"/>
      <c r="E522"/>
    </row>
    <row r="523" spans="1:5">
      <c r="A523"/>
      <c r="B523"/>
      <c r="C523"/>
      <c r="D523"/>
      <c r="E523"/>
    </row>
    <row r="524" spans="1:5">
      <c r="A524"/>
      <c r="B524"/>
      <c r="C524"/>
      <c r="D524"/>
      <c r="E524"/>
    </row>
    <row r="525" spans="1:5">
      <c r="A525"/>
      <c r="B525"/>
      <c r="C525"/>
      <c r="D525"/>
      <c r="E525"/>
    </row>
    <row r="526" spans="1:5">
      <c r="A526"/>
      <c r="B526"/>
      <c r="C526"/>
      <c r="D526"/>
      <c r="E526"/>
    </row>
    <row r="527" spans="1:5">
      <c r="A527"/>
      <c r="B527"/>
      <c r="C527"/>
      <c r="D527"/>
      <c r="E527"/>
    </row>
    <row r="528" spans="1:5">
      <c r="A528"/>
      <c r="B528"/>
      <c r="C528"/>
      <c r="D528"/>
      <c r="E528"/>
    </row>
    <row r="529" spans="1:5">
      <c r="A529"/>
      <c r="B529"/>
      <c r="C529"/>
      <c r="D529"/>
      <c r="E529"/>
    </row>
    <row r="530" spans="1:5">
      <c r="A530"/>
      <c r="B530"/>
      <c r="C530"/>
      <c r="D530"/>
      <c r="E530"/>
    </row>
    <row r="531" spans="1:5">
      <c r="A531"/>
      <c r="B531"/>
      <c r="C531"/>
      <c r="D531"/>
      <c r="E531"/>
    </row>
    <row r="532" spans="1:5">
      <c r="A532"/>
      <c r="B532"/>
      <c r="C532"/>
      <c r="D532"/>
      <c r="E532"/>
    </row>
    <row r="533" spans="1:5">
      <c r="A533"/>
      <c r="B533"/>
      <c r="C533"/>
      <c r="D533"/>
      <c r="E533"/>
    </row>
    <row r="534" spans="1:5">
      <c r="A534"/>
      <c r="B534"/>
      <c r="C534"/>
      <c r="D534"/>
      <c r="E534"/>
    </row>
    <row r="535" spans="1:5">
      <c r="A535"/>
      <c r="B535"/>
      <c r="C535"/>
      <c r="D535"/>
      <c r="E535"/>
    </row>
    <row r="536" spans="1:5">
      <c r="A536"/>
      <c r="B536"/>
      <c r="C536"/>
      <c r="D536"/>
      <c r="E536"/>
    </row>
    <row r="537" spans="1:5">
      <c r="A537"/>
      <c r="B537"/>
      <c r="C537"/>
      <c r="D537"/>
      <c r="E537"/>
    </row>
    <row r="538" spans="1:5">
      <c r="A538"/>
      <c r="B538"/>
      <c r="C538"/>
      <c r="D538"/>
      <c r="E538"/>
    </row>
    <row r="539" spans="1:5">
      <c r="A539"/>
      <c r="B539"/>
      <c r="C539"/>
      <c r="D539"/>
      <c r="E539"/>
    </row>
    <row r="540" spans="1:5">
      <c r="A540"/>
      <c r="B540"/>
      <c r="C540"/>
      <c r="D540"/>
      <c r="E540"/>
    </row>
    <row r="541" spans="1:5">
      <c r="A541"/>
      <c r="B541"/>
      <c r="C541"/>
      <c r="D541"/>
      <c r="E541"/>
    </row>
    <row r="542" spans="1:5">
      <c r="A542"/>
      <c r="B542"/>
      <c r="C542"/>
      <c r="D542"/>
      <c r="E542"/>
    </row>
    <row r="543" spans="1:5">
      <c r="A543"/>
      <c r="B543"/>
      <c r="C543"/>
      <c r="D543"/>
      <c r="E543"/>
    </row>
    <row r="544" spans="1:5">
      <c r="A544"/>
      <c r="B544"/>
      <c r="C544"/>
      <c r="D544"/>
      <c r="E544"/>
    </row>
    <row r="545" spans="1:5">
      <c r="A545"/>
      <c r="B545"/>
      <c r="C545"/>
      <c r="D545"/>
      <c r="E545"/>
    </row>
    <row r="546" spans="1:5">
      <c r="A546"/>
      <c r="B546"/>
      <c r="C546"/>
      <c r="D546"/>
      <c r="E546"/>
    </row>
    <row r="547" spans="1:5">
      <c r="A547"/>
      <c r="B547"/>
      <c r="C547"/>
      <c r="D547"/>
      <c r="E547"/>
    </row>
    <row r="548" spans="1:5">
      <c r="A548"/>
      <c r="B548"/>
      <c r="C548"/>
      <c r="D548"/>
      <c r="E548"/>
    </row>
    <row r="549" spans="1:5">
      <c r="A549"/>
      <c r="B549"/>
      <c r="C549"/>
      <c r="D549"/>
      <c r="E549"/>
    </row>
    <row r="550" spans="1:5">
      <c r="A550"/>
      <c r="B550"/>
      <c r="C550"/>
      <c r="D550"/>
      <c r="E550"/>
    </row>
    <row r="551" spans="1:5">
      <c r="A551"/>
      <c r="B551"/>
      <c r="C551"/>
      <c r="D551"/>
      <c r="E551"/>
    </row>
    <row r="552" spans="1:5">
      <c r="A552"/>
      <c r="B552"/>
      <c r="C552"/>
      <c r="D552"/>
      <c r="E552"/>
    </row>
    <row r="553" spans="1:5">
      <c r="A553"/>
      <c r="B553"/>
      <c r="C553"/>
      <c r="D553"/>
      <c r="E553"/>
    </row>
    <row r="554" spans="1:5">
      <c r="A554"/>
      <c r="B554"/>
      <c r="C554"/>
      <c r="D554"/>
      <c r="E554"/>
    </row>
    <row r="555" spans="1:5">
      <c r="A555"/>
      <c r="B555"/>
      <c r="C555"/>
      <c r="D555"/>
      <c r="E555"/>
    </row>
    <row r="556" spans="1:5">
      <c r="A556"/>
      <c r="B556"/>
      <c r="C556"/>
      <c r="D556"/>
      <c r="E556"/>
    </row>
    <row r="557" spans="1:5">
      <c r="A557"/>
      <c r="B557"/>
      <c r="C557"/>
      <c r="D557"/>
      <c r="E557"/>
    </row>
    <row r="558" spans="1:5">
      <c r="A558"/>
      <c r="B558"/>
      <c r="C558"/>
      <c r="D558"/>
      <c r="E558"/>
    </row>
    <row r="559" spans="1:5">
      <c r="A559"/>
      <c r="B559"/>
      <c r="C559"/>
      <c r="D559"/>
      <c r="E559"/>
    </row>
    <row r="560" spans="1:5">
      <c r="A560"/>
      <c r="B560"/>
      <c r="C560"/>
      <c r="D560"/>
      <c r="E560"/>
    </row>
    <row r="561" spans="1:5">
      <c r="A561"/>
      <c r="B561"/>
      <c r="C561"/>
      <c r="D561"/>
      <c r="E561"/>
    </row>
    <row r="562" spans="1:5">
      <c r="A562"/>
      <c r="B562"/>
      <c r="C562"/>
      <c r="D562"/>
      <c r="E562"/>
    </row>
    <row r="563" spans="1:5">
      <c r="A563"/>
      <c r="B563"/>
      <c r="C563"/>
      <c r="D563"/>
      <c r="E563"/>
    </row>
    <row r="564" spans="1:5">
      <c r="A564"/>
      <c r="B564"/>
      <c r="C564"/>
      <c r="D564"/>
      <c r="E564"/>
    </row>
    <row r="565" spans="1:5">
      <c r="A565"/>
      <c r="B565"/>
      <c r="C565"/>
      <c r="D565"/>
      <c r="E565"/>
    </row>
    <row r="566" spans="1:5">
      <c r="A566"/>
      <c r="B566"/>
      <c r="C566"/>
      <c r="D566"/>
      <c r="E566"/>
    </row>
    <row r="567" spans="1:5">
      <c r="A567"/>
      <c r="B567"/>
      <c r="C567"/>
      <c r="D567"/>
      <c r="E567"/>
    </row>
    <row r="568" spans="1:5">
      <c r="A568"/>
      <c r="B568"/>
      <c r="C568"/>
      <c r="D568"/>
      <c r="E568"/>
    </row>
    <row r="569" spans="1:5">
      <c r="A569"/>
      <c r="B569"/>
      <c r="C569"/>
      <c r="D569"/>
      <c r="E569"/>
    </row>
    <row r="570" spans="1:5">
      <c r="A570"/>
      <c r="B570"/>
      <c r="C570"/>
      <c r="D570"/>
      <c r="E570"/>
    </row>
    <row r="571" spans="1:5">
      <c r="A571"/>
      <c r="B571"/>
      <c r="C571"/>
      <c r="D571"/>
      <c r="E571"/>
    </row>
    <row r="572" spans="1:5">
      <c r="A572"/>
      <c r="B572"/>
      <c r="C572"/>
      <c r="D572"/>
      <c r="E572"/>
    </row>
    <row r="573" spans="1:5">
      <c r="A573"/>
      <c r="B573"/>
      <c r="C573"/>
      <c r="D573"/>
      <c r="E573"/>
    </row>
  </sheetData>
  <mergeCells count="1">
    <mergeCell ref="A1:X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L2:P55"/>
  <sheetViews>
    <sheetView showGridLines="0" workbookViewId="0">
      <selection activeCell="J29" sqref="J29"/>
    </sheetView>
  </sheetViews>
  <sheetFormatPr defaultColWidth="14" defaultRowHeight="15.75"/>
  <cols>
    <col min="9" max="9" width="22.625" customWidth="1"/>
    <col min="10" max="10" width="24.75" customWidth="1"/>
    <col min="11" max="11" width="42.5" customWidth="1"/>
    <col min="12" max="12" width="14" hidden="1" customWidth="1"/>
    <col min="13" max="13" width="17.25" hidden="1" customWidth="1"/>
    <col min="14" max="14" width="57" hidden="1" customWidth="1"/>
    <col min="15" max="15" width="45.375" hidden="1" customWidth="1"/>
    <col min="16" max="16" width="71.75" hidden="1" customWidth="1"/>
  </cols>
  <sheetData>
    <row r="2" spans="12:16">
      <c r="L2" s="541" t="s">
        <v>35</v>
      </c>
      <c r="M2" s="533" t="s">
        <v>35</v>
      </c>
    </row>
    <row r="3" spans="12:16">
      <c r="N3" s="415"/>
      <c r="O3" s="415"/>
      <c r="P3" s="415"/>
    </row>
    <row r="4" spans="12:16">
      <c r="L4" s="541" t="s">
        <v>24</v>
      </c>
      <c r="M4" s="541" t="s">
        <v>20</v>
      </c>
      <c r="N4" s="533" t="s">
        <v>2779</v>
      </c>
      <c r="O4" s="533" t="s">
        <v>2780</v>
      </c>
      <c r="P4" s="533" t="s">
        <v>2781</v>
      </c>
    </row>
    <row r="5" spans="12:16">
      <c r="L5" s="533" t="s">
        <v>416</v>
      </c>
      <c r="M5" s="533" t="s">
        <v>2388</v>
      </c>
      <c r="N5" s="531">
        <v>4717</v>
      </c>
      <c r="O5" s="531">
        <v>4129</v>
      </c>
      <c r="P5" s="531">
        <v>1284.8370370370371</v>
      </c>
    </row>
    <row r="6" spans="12:16">
      <c r="L6" s="533" t="s">
        <v>3058</v>
      </c>
      <c r="M6" s="533"/>
      <c r="N6" s="531">
        <v>4717</v>
      </c>
      <c r="O6" s="531">
        <v>4129</v>
      </c>
      <c r="P6" s="531">
        <v>1284.8370370370371</v>
      </c>
    </row>
    <row r="7" spans="12:16">
      <c r="L7" s="533" t="s">
        <v>418</v>
      </c>
      <c r="M7" s="533" t="s">
        <v>2388</v>
      </c>
      <c r="N7" s="531">
        <v>1895</v>
      </c>
      <c r="O7" s="531">
        <v>2111</v>
      </c>
      <c r="P7" s="531">
        <v>2111</v>
      </c>
    </row>
    <row r="8" spans="12:16">
      <c r="L8" s="533" t="s">
        <v>3059</v>
      </c>
      <c r="M8" s="533"/>
      <c r="N8" s="531">
        <v>1895</v>
      </c>
      <c r="O8" s="531">
        <v>2111</v>
      </c>
      <c r="P8" s="531">
        <v>2111</v>
      </c>
    </row>
    <row r="9" spans="12:16">
      <c r="L9" s="533" t="s">
        <v>429</v>
      </c>
      <c r="M9" s="533" t="s">
        <v>2388</v>
      </c>
      <c r="N9" s="531">
        <v>4892</v>
      </c>
      <c r="O9" s="531">
        <v>4130</v>
      </c>
      <c r="P9" s="531">
        <v>4892</v>
      </c>
    </row>
    <row r="10" spans="12:16">
      <c r="L10" s="533" t="s">
        <v>3060</v>
      </c>
      <c r="M10" s="533"/>
      <c r="N10" s="531">
        <v>4892</v>
      </c>
      <c r="O10" s="531">
        <v>4130</v>
      </c>
      <c r="P10" s="531">
        <v>4892</v>
      </c>
    </row>
    <row r="11" spans="12:16">
      <c r="L11" s="533" t="s">
        <v>431</v>
      </c>
      <c r="M11" s="533" t="s">
        <v>2388</v>
      </c>
      <c r="N11" s="531">
        <v>6936</v>
      </c>
      <c r="O11" s="531">
        <v>5830</v>
      </c>
      <c r="P11" s="531">
        <v>6936</v>
      </c>
    </row>
    <row r="12" spans="12:16">
      <c r="L12" s="533" t="s">
        <v>3061</v>
      </c>
      <c r="M12" s="533"/>
      <c r="N12" s="531">
        <v>6936</v>
      </c>
      <c r="O12" s="531">
        <v>5830</v>
      </c>
      <c r="P12" s="531">
        <v>6936</v>
      </c>
    </row>
    <row r="13" spans="12:16">
      <c r="L13" s="533" t="s">
        <v>428</v>
      </c>
      <c r="M13" s="533" t="s">
        <v>2388</v>
      </c>
      <c r="N13" s="531">
        <v>11625</v>
      </c>
      <c r="O13" s="531">
        <v>8160</v>
      </c>
      <c r="P13" s="531">
        <v>11625</v>
      </c>
    </row>
    <row r="14" spans="12:16">
      <c r="L14" s="533" t="s">
        <v>3062</v>
      </c>
      <c r="M14" s="533"/>
      <c r="N14" s="531">
        <v>11625</v>
      </c>
      <c r="O14" s="531">
        <v>8160</v>
      </c>
      <c r="P14" s="531">
        <v>11625</v>
      </c>
    </row>
    <row r="15" spans="12:16">
      <c r="L15" s="533" t="s">
        <v>427</v>
      </c>
      <c r="M15" s="533" t="s">
        <v>2388</v>
      </c>
      <c r="N15" s="531">
        <v>3360</v>
      </c>
      <c r="O15" s="531">
        <v>0</v>
      </c>
      <c r="P15" s="531">
        <v>3360</v>
      </c>
    </row>
    <row r="16" spans="12:16">
      <c r="L16" s="533" t="s">
        <v>3063</v>
      </c>
      <c r="M16" s="533"/>
      <c r="N16" s="531">
        <v>3360</v>
      </c>
      <c r="O16" s="531">
        <v>0</v>
      </c>
      <c r="P16" s="531">
        <v>3360</v>
      </c>
    </row>
    <row r="17" spans="12:16">
      <c r="L17" s="533" t="s">
        <v>372</v>
      </c>
      <c r="M17" s="533" t="s">
        <v>2388</v>
      </c>
      <c r="N17" s="531">
        <v>979</v>
      </c>
      <c r="O17" s="531">
        <v>979</v>
      </c>
      <c r="P17" s="531">
        <v>979</v>
      </c>
    </row>
    <row r="18" spans="12:16">
      <c r="L18" s="533" t="s">
        <v>3064</v>
      </c>
      <c r="M18" s="533"/>
      <c r="N18" s="531">
        <v>979</v>
      </c>
      <c r="O18" s="531">
        <v>979</v>
      </c>
      <c r="P18" s="531">
        <v>979</v>
      </c>
    </row>
    <row r="19" spans="12:16">
      <c r="L19" s="533" t="s">
        <v>414</v>
      </c>
      <c r="M19" s="533" t="s">
        <v>2388</v>
      </c>
      <c r="N19" s="531">
        <v>6042</v>
      </c>
      <c r="O19" s="531">
        <v>3930</v>
      </c>
      <c r="P19" s="531">
        <v>6042</v>
      </c>
    </row>
    <row r="20" spans="12:16">
      <c r="L20" s="533" t="s">
        <v>3065</v>
      </c>
      <c r="M20" s="533"/>
      <c r="N20" s="531">
        <v>6042</v>
      </c>
      <c r="O20" s="531">
        <v>3930</v>
      </c>
      <c r="P20" s="531">
        <v>6042</v>
      </c>
    </row>
    <row r="21" spans="12:16">
      <c r="L21" s="533" t="s">
        <v>435</v>
      </c>
      <c r="M21" s="533" t="s">
        <v>2388</v>
      </c>
      <c r="N21" s="531">
        <v>3486</v>
      </c>
      <c r="O21" s="531">
        <v>3486</v>
      </c>
      <c r="P21" s="531">
        <v>3486</v>
      </c>
    </row>
    <row r="22" spans="12:16">
      <c r="L22" s="533" t="s">
        <v>3066</v>
      </c>
      <c r="M22" s="533"/>
      <c r="N22" s="531">
        <v>3486</v>
      </c>
      <c r="O22" s="531">
        <v>3486</v>
      </c>
      <c r="P22" s="531">
        <v>3486</v>
      </c>
    </row>
    <row r="23" spans="12:16">
      <c r="L23" s="533" t="s">
        <v>410</v>
      </c>
      <c r="M23" s="533" t="s">
        <v>2388</v>
      </c>
      <c r="N23" s="531">
        <v>4645</v>
      </c>
      <c r="O23" s="531">
        <v>2074</v>
      </c>
      <c r="P23" s="531">
        <v>4645</v>
      </c>
    </row>
    <row r="24" spans="12:16">
      <c r="L24" s="533" t="s">
        <v>3067</v>
      </c>
      <c r="M24" s="533"/>
      <c r="N24" s="531">
        <v>4645</v>
      </c>
      <c r="O24" s="531">
        <v>2074</v>
      </c>
      <c r="P24" s="531">
        <v>4645</v>
      </c>
    </row>
    <row r="25" spans="12:16">
      <c r="L25" s="533" t="s">
        <v>411</v>
      </c>
      <c r="M25" s="533" t="s">
        <v>2388</v>
      </c>
      <c r="N25" s="531">
        <v>4104</v>
      </c>
      <c r="O25" s="531">
        <v>3023</v>
      </c>
      <c r="P25" s="531">
        <v>2717.6562962962967</v>
      </c>
    </row>
    <row r="26" spans="12:16">
      <c r="L26" s="533" t="s">
        <v>3068</v>
      </c>
      <c r="M26" s="533"/>
      <c r="N26" s="531">
        <v>4104</v>
      </c>
      <c r="O26" s="531">
        <v>3023</v>
      </c>
      <c r="P26" s="531">
        <v>2717.6562962962967</v>
      </c>
    </row>
    <row r="27" spans="12:16">
      <c r="L27" s="533" t="s">
        <v>2702</v>
      </c>
      <c r="M27" s="533" t="s">
        <v>2388</v>
      </c>
      <c r="N27" s="531">
        <v>0</v>
      </c>
      <c r="O27" s="531">
        <v>581</v>
      </c>
      <c r="P27" s="531">
        <v>581</v>
      </c>
    </row>
    <row r="28" spans="12:16">
      <c r="L28" s="533" t="s">
        <v>3069</v>
      </c>
      <c r="M28" s="533"/>
      <c r="N28" s="531">
        <v>0</v>
      </c>
      <c r="O28" s="531">
        <v>581</v>
      </c>
      <c r="P28" s="531">
        <v>581</v>
      </c>
    </row>
    <row r="29" spans="12:16">
      <c r="L29" s="533" t="s">
        <v>445</v>
      </c>
      <c r="M29" s="533" t="s">
        <v>2388</v>
      </c>
      <c r="N29" s="531">
        <v>3095</v>
      </c>
      <c r="O29" s="531">
        <v>3095</v>
      </c>
      <c r="P29" s="531">
        <v>3095</v>
      </c>
    </row>
    <row r="30" spans="12:16">
      <c r="L30" s="533" t="s">
        <v>3070</v>
      </c>
      <c r="M30" s="533"/>
      <c r="N30" s="531">
        <v>3095</v>
      </c>
      <c r="O30" s="531">
        <v>3095</v>
      </c>
      <c r="P30" s="531">
        <v>3095</v>
      </c>
    </row>
    <row r="31" spans="12:16">
      <c r="L31" s="533" t="s">
        <v>436</v>
      </c>
      <c r="M31" s="533" t="s">
        <v>2388</v>
      </c>
      <c r="N31" s="531">
        <v>13302</v>
      </c>
      <c r="O31" s="531">
        <v>8870</v>
      </c>
      <c r="P31" s="531">
        <v>13302</v>
      </c>
    </row>
    <row r="32" spans="12:16">
      <c r="L32" s="533" t="s">
        <v>3071</v>
      </c>
      <c r="M32" s="533"/>
      <c r="N32" s="531">
        <v>13302</v>
      </c>
      <c r="O32" s="531">
        <v>8870</v>
      </c>
      <c r="P32" s="531">
        <v>13302</v>
      </c>
    </row>
    <row r="33" spans="12:16">
      <c r="L33" s="533" t="s">
        <v>434</v>
      </c>
      <c r="M33" s="533" t="s">
        <v>2388</v>
      </c>
      <c r="N33" s="531">
        <v>11487</v>
      </c>
      <c r="O33" s="531">
        <v>6816</v>
      </c>
      <c r="P33" s="531">
        <v>11487</v>
      </c>
    </row>
    <row r="34" spans="12:16">
      <c r="L34" s="533" t="s">
        <v>3072</v>
      </c>
      <c r="M34" s="533"/>
      <c r="N34" s="531">
        <v>11487</v>
      </c>
      <c r="O34" s="531">
        <v>6816</v>
      </c>
      <c r="P34" s="531">
        <v>11487</v>
      </c>
    </row>
    <row r="35" spans="12:16">
      <c r="L35" s="533" t="s">
        <v>443</v>
      </c>
      <c r="M35" s="533" t="s">
        <v>2388</v>
      </c>
      <c r="N35" s="531">
        <v>11564</v>
      </c>
      <c r="O35" s="531">
        <v>11564</v>
      </c>
      <c r="P35" s="531">
        <v>11564</v>
      </c>
    </row>
    <row r="36" spans="12:16">
      <c r="L36" s="533" t="s">
        <v>3073</v>
      </c>
      <c r="M36" s="533"/>
      <c r="N36" s="531">
        <v>11564</v>
      </c>
      <c r="O36" s="531">
        <v>11564</v>
      </c>
      <c r="P36" s="531">
        <v>11564</v>
      </c>
    </row>
    <row r="37" spans="12:16">
      <c r="L37" s="533" t="s">
        <v>409</v>
      </c>
      <c r="M37" s="533" t="s">
        <v>2388</v>
      </c>
      <c r="N37" s="531">
        <v>2805</v>
      </c>
      <c r="O37" s="531">
        <v>2805</v>
      </c>
      <c r="P37" s="531">
        <v>2805</v>
      </c>
    </row>
    <row r="38" spans="12:16">
      <c r="L38" s="533" t="s">
        <v>3074</v>
      </c>
      <c r="M38" s="533"/>
      <c r="N38" s="531">
        <v>2805</v>
      </c>
      <c r="O38" s="531">
        <v>2805</v>
      </c>
      <c r="P38" s="531">
        <v>2805</v>
      </c>
    </row>
    <row r="39" spans="12:16">
      <c r="L39" s="533" t="s">
        <v>404</v>
      </c>
      <c r="M39" s="533" t="s">
        <v>2388</v>
      </c>
      <c r="N39" s="531">
        <v>2920</v>
      </c>
      <c r="O39" s="531">
        <v>2920</v>
      </c>
      <c r="P39" s="531">
        <v>2920</v>
      </c>
    </row>
    <row r="40" spans="12:16">
      <c r="L40" s="533" t="s">
        <v>3075</v>
      </c>
      <c r="M40" s="533"/>
      <c r="N40" s="531">
        <v>2920</v>
      </c>
      <c r="O40" s="531">
        <v>2920</v>
      </c>
      <c r="P40" s="531">
        <v>2920</v>
      </c>
    </row>
    <row r="41" spans="12:16">
      <c r="L41" s="533" t="s">
        <v>426</v>
      </c>
      <c r="M41" s="533" t="s">
        <v>2388</v>
      </c>
      <c r="N41" s="531">
        <v>6016</v>
      </c>
      <c r="O41" s="531">
        <v>4020</v>
      </c>
      <c r="P41" s="531">
        <v>6016</v>
      </c>
    </row>
    <row r="42" spans="12:16">
      <c r="L42" s="533" t="s">
        <v>3076</v>
      </c>
      <c r="M42" s="533"/>
      <c r="N42" s="531">
        <v>6016</v>
      </c>
      <c r="O42" s="531">
        <v>4020</v>
      </c>
      <c r="P42" s="531">
        <v>6016</v>
      </c>
    </row>
    <row r="43" spans="12:16">
      <c r="L43" s="533" t="s">
        <v>430</v>
      </c>
      <c r="M43" s="533" t="s">
        <v>2388</v>
      </c>
      <c r="N43" s="531">
        <v>5950</v>
      </c>
      <c r="O43" s="531">
        <v>5030</v>
      </c>
      <c r="P43" s="531">
        <v>5950</v>
      </c>
    </row>
    <row r="44" spans="12:16">
      <c r="L44" s="533" t="s">
        <v>3077</v>
      </c>
      <c r="M44" s="533"/>
      <c r="N44" s="531">
        <v>5950</v>
      </c>
      <c r="O44" s="531">
        <v>5030</v>
      </c>
      <c r="P44" s="531">
        <v>5950</v>
      </c>
    </row>
    <row r="45" spans="12:16">
      <c r="L45" s="533" t="s">
        <v>432</v>
      </c>
      <c r="M45" s="533" t="s">
        <v>2388</v>
      </c>
      <c r="N45" s="531">
        <v>1670</v>
      </c>
      <c r="O45" s="531">
        <v>800</v>
      </c>
      <c r="P45" s="531">
        <v>1670</v>
      </c>
    </row>
    <row r="46" spans="12:16">
      <c r="L46" s="533" t="s">
        <v>3078</v>
      </c>
      <c r="M46" s="533"/>
      <c r="N46" s="531">
        <v>1670</v>
      </c>
      <c r="O46" s="531">
        <v>800</v>
      </c>
      <c r="P46" s="531">
        <v>1670</v>
      </c>
    </row>
    <row r="47" spans="12:16">
      <c r="L47" s="533" t="s">
        <v>2311</v>
      </c>
      <c r="M47" s="533" t="s">
        <v>2388</v>
      </c>
      <c r="N47" s="531">
        <v>2186</v>
      </c>
      <c r="O47" s="531">
        <v>1710</v>
      </c>
      <c r="P47" s="531">
        <v>2186</v>
      </c>
    </row>
    <row r="48" spans="12:16">
      <c r="L48" s="533" t="s">
        <v>3079</v>
      </c>
      <c r="M48" s="533"/>
      <c r="N48" s="531">
        <v>2186</v>
      </c>
      <c r="O48" s="531">
        <v>1710</v>
      </c>
      <c r="P48" s="531">
        <v>2186</v>
      </c>
    </row>
    <row r="49" spans="12:16">
      <c r="L49" s="533" t="s">
        <v>2310</v>
      </c>
      <c r="M49" s="533" t="s">
        <v>2388</v>
      </c>
      <c r="N49" s="531">
        <v>2248</v>
      </c>
      <c r="O49" s="531">
        <v>2200</v>
      </c>
      <c r="P49" s="531">
        <v>2248</v>
      </c>
    </row>
    <row r="50" spans="12:16">
      <c r="L50" s="533" t="s">
        <v>3080</v>
      </c>
      <c r="M50" s="533"/>
      <c r="N50" s="531">
        <v>2248</v>
      </c>
      <c r="O50" s="531">
        <v>2200</v>
      </c>
      <c r="P50" s="531">
        <v>2248</v>
      </c>
    </row>
    <row r="51" spans="12:16">
      <c r="L51" s="533" t="s">
        <v>2312</v>
      </c>
      <c r="M51" s="533" t="s">
        <v>2388</v>
      </c>
      <c r="N51" s="531">
        <v>2285</v>
      </c>
      <c r="O51" s="531">
        <v>2285</v>
      </c>
      <c r="P51" s="531">
        <v>2285</v>
      </c>
    </row>
    <row r="52" spans="12:16">
      <c r="L52" s="533" t="s">
        <v>3081</v>
      </c>
      <c r="M52" s="533"/>
      <c r="N52" s="531">
        <v>2285</v>
      </c>
      <c r="O52" s="531">
        <v>2285</v>
      </c>
      <c r="P52" s="531">
        <v>2285</v>
      </c>
    </row>
    <row r="53" spans="12:16">
      <c r="L53" s="533" t="s">
        <v>2700</v>
      </c>
      <c r="M53" s="533" t="s">
        <v>2388</v>
      </c>
      <c r="N53" s="531">
        <v>114</v>
      </c>
      <c r="O53" s="531">
        <v>100</v>
      </c>
      <c r="P53" s="531">
        <v>114</v>
      </c>
    </row>
    <row r="54" spans="12:16">
      <c r="L54" s="533" t="s">
        <v>3082</v>
      </c>
      <c r="M54" s="533"/>
      <c r="N54" s="531">
        <v>114</v>
      </c>
      <c r="O54" s="531">
        <v>100</v>
      </c>
      <c r="P54" s="531">
        <v>114</v>
      </c>
    </row>
    <row r="55" spans="12:16">
      <c r="L55" s="533" t="s">
        <v>1630</v>
      </c>
      <c r="N55" s="531">
        <v>118323</v>
      </c>
      <c r="O55" s="531">
        <v>90648</v>
      </c>
      <c r="P55" s="531">
        <v>114301.49333333335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3330"/>
  <sheetViews>
    <sheetView workbookViewId="0">
      <selection activeCell="D12" sqref="D12"/>
    </sheetView>
  </sheetViews>
  <sheetFormatPr defaultColWidth="9" defaultRowHeight="12.75"/>
  <cols>
    <col min="1" max="3" width="9" style="18"/>
    <col min="4" max="4" width="9" style="67"/>
    <col min="5" max="5" width="15.875" style="66" customWidth="1"/>
    <col min="6" max="14" width="9" style="18"/>
    <col min="15" max="15" width="15.875" style="18" customWidth="1"/>
    <col min="16" max="27" width="9" style="18"/>
    <col min="28" max="28" width="13" style="62" customWidth="1"/>
    <col min="29" max="29" width="16.75" style="62" customWidth="1"/>
    <col min="30" max="16384" width="9" style="18"/>
  </cols>
  <sheetData>
    <row r="1" spans="1:29" ht="14.25" thickTop="1" thickBot="1">
      <c r="A1" s="1" t="s">
        <v>0</v>
      </c>
      <c r="B1" s="1" t="s">
        <v>1</v>
      </c>
      <c r="C1" s="1" t="s">
        <v>2</v>
      </c>
      <c r="D1" s="49" t="s">
        <v>3</v>
      </c>
      <c r="E1" s="49" t="s">
        <v>4</v>
      </c>
      <c r="F1" s="1" t="s">
        <v>1154</v>
      </c>
      <c r="G1" s="1" t="s">
        <v>5</v>
      </c>
      <c r="H1" s="1" t="s">
        <v>6</v>
      </c>
      <c r="I1" s="1" t="s">
        <v>51</v>
      </c>
      <c r="J1" s="1" t="s">
        <v>52</v>
      </c>
      <c r="K1" s="1" t="s">
        <v>55</v>
      </c>
      <c r="L1" s="2" t="s">
        <v>57</v>
      </c>
      <c r="M1" s="2" t="s">
        <v>59</v>
      </c>
      <c r="N1" s="2" t="s">
        <v>115</v>
      </c>
      <c r="O1" s="2" t="s">
        <v>116</v>
      </c>
      <c r="P1" s="2" t="s">
        <v>61</v>
      </c>
      <c r="Q1" s="2" t="s">
        <v>60</v>
      </c>
      <c r="R1" s="3" t="s">
        <v>62</v>
      </c>
      <c r="S1" s="3" t="s">
        <v>1155</v>
      </c>
      <c r="T1" s="4" t="s">
        <v>64</v>
      </c>
      <c r="U1" s="3" t="s">
        <v>65</v>
      </c>
      <c r="V1" s="3" t="s">
        <v>66</v>
      </c>
      <c r="W1" s="5" t="s">
        <v>67</v>
      </c>
      <c r="X1" s="5"/>
      <c r="Y1" s="5" t="s">
        <v>1156</v>
      </c>
      <c r="Z1" s="5" t="s">
        <v>68</v>
      </c>
      <c r="AA1" s="47" t="s">
        <v>69</v>
      </c>
      <c r="AB1" s="62" t="s">
        <v>1157</v>
      </c>
    </row>
    <row r="2" spans="1:29" ht="13.5" thickBot="1">
      <c r="A2" s="11" t="s">
        <v>16</v>
      </c>
      <c r="B2" s="12" t="s">
        <v>16</v>
      </c>
      <c r="C2" s="11" t="s">
        <v>16</v>
      </c>
      <c r="D2" s="53" t="s">
        <v>16</v>
      </c>
      <c r="E2" s="50" t="s">
        <v>16</v>
      </c>
      <c r="F2" s="12" t="s">
        <v>17</v>
      </c>
      <c r="G2" s="11" t="s">
        <v>17</v>
      </c>
      <c r="H2" s="12" t="s">
        <v>54</v>
      </c>
      <c r="I2" s="11" t="s">
        <v>16</v>
      </c>
      <c r="J2" s="12" t="s">
        <v>19</v>
      </c>
      <c r="K2" s="11" t="s">
        <v>56</v>
      </c>
      <c r="L2" s="12" t="s">
        <v>17</v>
      </c>
      <c r="M2" s="11" t="s">
        <v>17</v>
      </c>
      <c r="N2" s="12" t="s">
        <v>17</v>
      </c>
      <c r="O2" s="11" t="s">
        <v>17</v>
      </c>
      <c r="P2" s="12" t="s">
        <v>56</v>
      </c>
      <c r="Q2" s="11" t="s">
        <v>17</v>
      </c>
      <c r="R2" s="12" t="s">
        <v>17</v>
      </c>
      <c r="S2" s="11" t="s">
        <v>17</v>
      </c>
      <c r="T2" s="12" t="s">
        <v>17</v>
      </c>
      <c r="U2" s="11" t="s">
        <v>1158</v>
      </c>
      <c r="V2" s="12" t="s">
        <v>1158</v>
      </c>
      <c r="W2" s="11" t="s">
        <v>17</v>
      </c>
      <c r="X2" s="11"/>
      <c r="Y2" s="12" t="s">
        <v>17</v>
      </c>
      <c r="Z2" s="11" t="s">
        <v>17</v>
      </c>
      <c r="AA2" s="48" t="s">
        <v>17</v>
      </c>
    </row>
    <row r="3" spans="1:29" ht="129" thickTop="1" thickBot="1">
      <c r="A3" s="14" t="s">
        <v>20</v>
      </c>
      <c r="B3" s="13" t="s">
        <v>1159</v>
      </c>
      <c r="C3" s="14" t="s">
        <v>22</v>
      </c>
      <c r="D3" s="54" t="s">
        <v>23</v>
      </c>
      <c r="E3" s="51" t="s">
        <v>24</v>
      </c>
      <c r="F3" s="13" t="s">
        <v>26</v>
      </c>
      <c r="G3" s="14" t="s">
        <v>1160</v>
      </c>
      <c r="H3" s="13" t="s">
        <v>1161</v>
      </c>
      <c r="I3" s="14" t="s">
        <v>1162</v>
      </c>
      <c r="J3" s="13" t="s">
        <v>1163</v>
      </c>
      <c r="K3" s="14" t="s">
        <v>1164</v>
      </c>
      <c r="L3" s="13" t="s">
        <v>1165</v>
      </c>
      <c r="M3" s="14" t="s">
        <v>1166</v>
      </c>
      <c r="N3" s="13" t="s">
        <v>1167</v>
      </c>
      <c r="O3" s="14" t="s">
        <v>1168</v>
      </c>
      <c r="P3" s="13" t="s">
        <v>1169</v>
      </c>
      <c r="Q3" s="14" t="s">
        <v>1170</v>
      </c>
      <c r="R3" s="13" t="s">
        <v>1171</v>
      </c>
      <c r="S3" s="14" t="s">
        <v>1172</v>
      </c>
      <c r="T3" s="13" t="s">
        <v>1173</v>
      </c>
      <c r="U3" s="14" t="s">
        <v>1174</v>
      </c>
      <c r="V3" s="13" t="s">
        <v>1175</v>
      </c>
      <c r="W3" s="16" t="s">
        <v>1176</v>
      </c>
      <c r="X3" s="16" t="s">
        <v>1177</v>
      </c>
      <c r="Y3" s="13" t="s">
        <v>1178</v>
      </c>
      <c r="Z3" s="14" t="s">
        <v>1179</v>
      </c>
      <c r="AA3" s="56" t="s">
        <v>1180</v>
      </c>
      <c r="AB3" s="63" t="s">
        <v>1181</v>
      </c>
      <c r="AC3" s="63" t="s">
        <v>1182</v>
      </c>
    </row>
    <row r="4" spans="1:29" ht="14.25" thickTop="1" thickBot="1">
      <c r="A4" s="42" t="s">
        <v>2387</v>
      </c>
      <c r="B4" s="10" t="s">
        <v>1183</v>
      </c>
      <c r="C4" s="8" t="s">
        <v>38</v>
      </c>
      <c r="D4" s="52" t="s">
        <v>329</v>
      </c>
      <c r="E4" s="52" t="s">
        <v>631</v>
      </c>
      <c r="F4" s="7"/>
      <c r="G4" s="8"/>
      <c r="H4" s="7" t="s">
        <v>42</v>
      </c>
      <c r="I4" s="41" t="s">
        <v>314</v>
      </c>
      <c r="J4" s="7"/>
      <c r="K4" s="15">
        <v>0</v>
      </c>
      <c r="L4" s="7"/>
      <c r="M4" s="8"/>
      <c r="N4" s="7"/>
      <c r="O4" s="8"/>
      <c r="P4" s="7"/>
      <c r="Q4" s="7"/>
      <c r="R4" s="8"/>
      <c r="S4" s="7"/>
      <c r="T4" s="9"/>
      <c r="U4" s="7" t="s">
        <v>131</v>
      </c>
      <c r="V4" s="7" t="s">
        <v>131</v>
      </c>
      <c r="W4" s="7"/>
      <c r="X4" s="7" t="s">
        <v>132</v>
      </c>
      <c r="Y4" s="8"/>
      <c r="Z4" s="7"/>
      <c r="AA4" s="57"/>
      <c r="AB4" s="62" t="s">
        <v>2707</v>
      </c>
      <c r="AC4" s="62" t="s">
        <v>361</v>
      </c>
    </row>
    <row r="5" spans="1:29" ht="14.25" thickTop="1" thickBot="1">
      <c r="A5" s="42" t="s">
        <v>2388</v>
      </c>
      <c r="B5" s="10" t="s">
        <v>318</v>
      </c>
      <c r="C5" s="8" t="s">
        <v>298</v>
      </c>
      <c r="D5" s="52" t="s">
        <v>189</v>
      </c>
      <c r="E5" s="52" t="s">
        <v>544</v>
      </c>
      <c r="F5" s="7"/>
      <c r="G5" s="8"/>
      <c r="H5" s="7" t="s">
        <v>130</v>
      </c>
      <c r="I5" s="41" t="s">
        <v>144</v>
      </c>
      <c r="J5" s="7"/>
      <c r="K5" s="15">
        <v>0.1</v>
      </c>
      <c r="L5" s="7"/>
      <c r="M5" s="8"/>
      <c r="N5" s="7"/>
      <c r="O5" s="8"/>
      <c r="P5" s="7"/>
      <c r="Q5" s="7"/>
      <c r="R5" s="8"/>
      <c r="S5" s="7"/>
      <c r="T5" s="9"/>
      <c r="U5" s="7" t="s">
        <v>1184</v>
      </c>
      <c r="V5" s="7" t="s">
        <v>145</v>
      </c>
      <c r="W5" s="7"/>
      <c r="X5" s="7" t="s">
        <v>223</v>
      </c>
      <c r="Y5" s="8"/>
      <c r="Z5" s="7"/>
      <c r="AA5" s="57"/>
      <c r="AB5" s="62" t="s">
        <v>2707</v>
      </c>
      <c r="AC5" s="62" t="s">
        <v>306</v>
      </c>
    </row>
    <row r="6" spans="1:29" ht="14.25" thickTop="1" thickBot="1">
      <c r="A6" s="42" t="s">
        <v>2389</v>
      </c>
      <c r="B6" s="10" t="s">
        <v>1185</v>
      </c>
      <c r="C6" s="8" t="s">
        <v>702</v>
      </c>
      <c r="D6" s="52" t="s">
        <v>323</v>
      </c>
      <c r="E6" s="52" t="s">
        <v>665</v>
      </c>
      <c r="F6" s="7"/>
      <c r="G6" s="8"/>
      <c r="H6" s="7" t="s">
        <v>287</v>
      </c>
      <c r="I6" s="6" t="s">
        <v>1186</v>
      </c>
      <c r="J6" s="7"/>
      <c r="K6" s="15">
        <v>0.2</v>
      </c>
      <c r="L6" s="7"/>
      <c r="M6" s="8"/>
      <c r="N6" s="7"/>
      <c r="O6" s="8"/>
      <c r="P6" s="7"/>
      <c r="Q6" s="7"/>
      <c r="R6" s="8"/>
      <c r="S6" s="7"/>
      <c r="T6" s="9"/>
      <c r="U6" s="7" t="s">
        <v>180</v>
      </c>
      <c r="V6" s="7" t="s">
        <v>180</v>
      </c>
      <c r="W6" s="7"/>
      <c r="X6" s="7" t="s">
        <v>139</v>
      </c>
      <c r="Y6" s="8"/>
      <c r="Z6" s="7"/>
      <c r="AA6" s="57"/>
      <c r="AB6" s="62" t="s">
        <v>2707</v>
      </c>
      <c r="AC6" s="62" t="s">
        <v>316</v>
      </c>
    </row>
    <row r="7" spans="1:29" ht="14.25" thickTop="1" thickBot="1">
      <c r="A7" s="42" t="s">
        <v>2390</v>
      </c>
      <c r="B7" s="10" t="s">
        <v>1187</v>
      </c>
      <c r="D7" s="52" t="s">
        <v>140</v>
      </c>
      <c r="E7" s="52" t="s">
        <v>583</v>
      </c>
      <c r="F7" s="7"/>
      <c r="G7" s="8"/>
      <c r="H7" s="7"/>
      <c r="I7" s="41" t="s">
        <v>331</v>
      </c>
      <c r="J7" s="7"/>
      <c r="K7" s="15">
        <v>0.3</v>
      </c>
      <c r="L7" s="7"/>
      <c r="M7" s="8"/>
      <c r="N7" s="7"/>
      <c r="O7" s="8"/>
      <c r="P7" s="7"/>
      <c r="Q7" s="7"/>
      <c r="R7" s="8"/>
      <c r="S7" s="7"/>
      <c r="T7" s="9"/>
      <c r="U7" s="7" t="s">
        <v>134</v>
      </c>
      <c r="V7" s="7" t="s">
        <v>134</v>
      </c>
      <c r="W7" s="7"/>
      <c r="X7" s="7"/>
      <c r="Y7" s="8"/>
      <c r="Z7" s="7"/>
      <c r="AA7" s="57"/>
      <c r="AB7" s="62" t="s">
        <v>2707</v>
      </c>
      <c r="AC7" s="62" t="s">
        <v>475</v>
      </c>
    </row>
    <row r="8" spans="1:29" ht="14.25" thickTop="1" thickBot="1">
      <c r="A8" s="65"/>
      <c r="B8" s="10" t="s">
        <v>1188</v>
      </c>
      <c r="D8" s="52" t="s">
        <v>142</v>
      </c>
      <c r="E8" s="52" t="s">
        <v>605</v>
      </c>
      <c r="F8" s="7"/>
      <c r="G8" s="8"/>
      <c r="H8" s="7"/>
      <c r="I8" s="55" t="s">
        <v>1189</v>
      </c>
      <c r="J8" s="7"/>
      <c r="K8" s="15">
        <v>0.4</v>
      </c>
      <c r="L8" s="7"/>
      <c r="M8" s="8"/>
      <c r="N8" s="7"/>
      <c r="O8" s="8"/>
      <c r="P8" s="7"/>
      <c r="Q8" s="7"/>
      <c r="R8" s="8"/>
      <c r="S8" s="7"/>
      <c r="T8" s="9"/>
      <c r="U8" s="65"/>
      <c r="V8" s="65"/>
      <c r="W8" s="7"/>
      <c r="X8" s="7"/>
      <c r="Y8" s="8"/>
      <c r="Z8" s="7"/>
      <c r="AA8" s="57"/>
      <c r="AB8" s="62" t="s">
        <v>2707</v>
      </c>
      <c r="AC8" s="62" t="s">
        <v>403</v>
      </c>
    </row>
    <row r="9" spans="1:29" ht="13.5" thickBot="1">
      <c r="A9" s="65"/>
      <c r="B9" s="10" t="s">
        <v>2295</v>
      </c>
      <c r="D9" s="52" t="s">
        <v>721</v>
      </c>
      <c r="E9" s="52" t="s">
        <v>652</v>
      </c>
      <c r="F9" s="7"/>
      <c r="G9" s="8"/>
      <c r="H9" s="7"/>
      <c r="I9" s="40" t="s">
        <v>1190</v>
      </c>
      <c r="J9" s="7"/>
      <c r="K9" s="15">
        <v>0.5</v>
      </c>
      <c r="L9" s="7"/>
      <c r="M9" s="8"/>
      <c r="N9" s="7"/>
      <c r="O9" s="8"/>
      <c r="P9" s="7"/>
      <c r="Q9" s="7"/>
      <c r="R9" s="8"/>
      <c r="S9" s="7"/>
      <c r="T9" s="9"/>
      <c r="U9" s="7"/>
      <c r="V9" s="8"/>
      <c r="W9" s="7"/>
      <c r="X9" s="7"/>
      <c r="Y9" s="8"/>
      <c r="Z9" s="7"/>
      <c r="AA9" s="57"/>
      <c r="AB9" s="62" t="s">
        <v>2707</v>
      </c>
      <c r="AC9" s="62" t="s">
        <v>406</v>
      </c>
    </row>
    <row r="10" spans="1:29" ht="13.5" thickBot="1">
      <c r="B10" s="10" t="s">
        <v>308</v>
      </c>
      <c r="D10" s="52" t="s">
        <v>743</v>
      </c>
      <c r="E10" s="52" t="s">
        <v>940</v>
      </c>
      <c r="F10" s="7"/>
      <c r="G10" s="8"/>
      <c r="H10" s="7"/>
      <c r="I10" s="40" t="s">
        <v>1192</v>
      </c>
      <c r="J10" s="7"/>
      <c r="K10" s="15">
        <v>0.6</v>
      </c>
      <c r="L10" s="7"/>
      <c r="M10" s="8"/>
      <c r="N10" s="7"/>
      <c r="O10" s="8"/>
      <c r="P10" s="7"/>
      <c r="Q10" s="7"/>
      <c r="R10" s="8"/>
      <c r="S10" s="7"/>
      <c r="T10" s="9"/>
      <c r="U10" s="7"/>
      <c r="V10" s="8"/>
      <c r="W10" s="7"/>
      <c r="X10" s="7"/>
      <c r="Y10" s="8"/>
      <c r="Z10" s="7"/>
      <c r="AA10" s="57"/>
      <c r="AB10" s="62" t="s">
        <v>2707</v>
      </c>
      <c r="AC10" s="62" t="s">
        <v>456</v>
      </c>
    </row>
    <row r="11" spans="1:29" ht="13.5" thickBot="1">
      <c r="B11" s="10" t="s">
        <v>1191</v>
      </c>
      <c r="D11" s="52" t="s">
        <v>775</v>
      </c>
      <c r="E11" s="52" t="s">
        <v>542</v>
      </c>
      <c r="F11" s="7"/>
      <c r="G11" s="8"/>
      <c r="H11" s="7"/>
      <c r="I11" s="30" t="s">
        <v>301</v>
      </c>
      <c r="J11" s="7"/>
      <c r="K11" s="15">
        <v>0.7</v>
      </c>
      <c r="L11" s="7"/>
      <c r="M11" s="8"/>
      <c r="N11" s="7"/>
      <c r="O11" s="8"/>
      <c r="P11" s="7"/>
      <c r="Q11" s="7"/>
      <c r="R11" s="8"/>
      <c r="S11" s="7"/>
      <c r="T11" s="9"/>
      <c r="U11" s="7"/>
      <c r="V11" s="8"/>
      <c r="W11" s="7"/>
      <c r="X11" s="7"/>
      <c r="Y11" s="8"/>
      <c r="Z11" s="7"/>
      <c r="AA11" s="57"/>
      <c r="AB11" s="62" t="s">
        <v>2707</v>
      </c>
      <c r="AC11" s="62" t="s">
        <v>358</v>
      </c>
    </row>
    <row r="12" spans="1:29" ht="13.5" thickBot="1">
      <c r="A12" s="65"/>
      <c r="B12" s="10" t="s">
        <v>322</v>
      </c>
      <c r="D12" s="52" t="s">
        <v>1073</v>
      </c>
      <c r="E12" s="52" t="s">
        <v>571</v>
      </c>
      <c r="F12" s="7"/>
      <c r="G12" s="8"/>
      <c r="H12" s="7"/>
      <c r="I12" s="30" t="s">
        <v>222</v>
      </c>
      <c r="J12" s="7"/>
      <c r="K12" s="15">
        <v>0.8</v>
      </c>
      <c r="L12" s="7"/>
      <c r="M12" s="8"/>
      <c r="N12" s="7"/>
      <c r="O12" s="8"/>
      <c r="P12" s="7"/>
      <c r="Q12" s="7"/>
      <c r="R12" s="8"/>
      <c r="S12" s="7"/>
      <c r="T12" s="9"/>
      <c r="U12" s="7"/>
      <c r="V12" s="8"/>
      <c r="W12" s="7"/>
      <c r="X12" s="7"/>
      <c r="Y12" s="8"/>
      <c r="Z12" s="7"/>
      <c r="AA12" s="57"/>
      <c r="AB12" s="62" t="s">
        <v>2707</v>
      </c>
      <c r="AC12" s="62" t="s">
        <v>299</v>
      </c>
    </row>
    <row r="13" spans="1:29" ht="13.5" thickBot="1">
      <c r="A13" s="65"/>
      <c r="B13" s="10" t="s">
        <v>1193</v>
      </c>
      <c r="C13" s="65"/>
      <c r="D13" s="52" t="s">
        <v>706</v>
      </c>
      <c r="E13" s="52" t="s">
        <v>593</v>
      </c>
      <c r="F13" s="7"/>
      <c r="G13" s="8"/>
      <c r="H13" s="7"/>
      <c r="I13" s="30" t="s">
        <v>41</v>
      </c>
      <c r="J13" s="7"/>
      <c r="K13" s="15">
        <v>0.9</v>
      </c>
      <c r="L13" s="7"/>
      <c r="M13" s="8"/>
      <c r="N13" s="7"/>
      <c r="O13" s="8"/>
      <c r="P13" s="7"/>
      <c r="Q13" s="7"/>
      <c r="R13" s="8"/>
      <c r="S13" s="7"/>
      <c r="T13" s="9"/>
      <c r="U13" s="7"/>
      <c r="V13" s="8"/>
      <c r="W13" s="7"/>
      <c r="X13" s="7"/>
      <c r="Y13" s="8"/>
      <c r="Z13" s="7"/>
      <c r="AA13" s="57"/>
      <c r="AB13" s="62" t="s">
        <v>38</v>
      </c>
      <c r="AC13" s="62" t="s">
        <v>189</v>
      </c>
    </row>
    <row r="14" spans="1:29" ht="13.5" thickBot="1">
      <c r="A14" s="65"/>
      <c r="B14" s="10" t="s">
        <v>1194</v>
      </c>
      <c r="D14" s="52" t="s">
        <v>361</v>
      </c>
      <c r="E14" s="52" t="s">
        <v>585</v>
      </c>
      <c r="F14" s="7"/>
      <c r="G14" s="8"/>
      <c r="H14" s="7"/>
      <c r="I14" s="46" t="s">
        <v>220</v>
      </c>
      <c r="J14" s="7"/>
      <c r="K14" s="15">
        <v>1</v>
      </c>
      <c r="L14" s="7"/>
      <c r="M14" s="8"/>
      <c r="N14" s="7"/>
      <c r="O14" s="8"/>
      <c r="P14" s="7"/>
      <c r="Q14" s="7"/>
      <c r="R14" s="8"/>
      <c r="S14" s="7"/>
      <c r="T14" s="9"/>
      <c r="U14" s="7"/>
      <c r="V14" s="8"/>
      <c r="W14" s="7"/>
      <c r="X14" s="7"/>
      <c r="Y14" s="8"/>
      <c r="Z14" s="7"/>
      <c r="AA14" s="57"/>
      <c r="AB14" s="62" t="s">
        <v>38</v>
      </c>
      <c r="AC14" s="62" t="s">
        <v>140</v>
      </c>
    </row>
    <row r="15" spans="1:29" ht="13.5" thickBot="1">
      <c r="A15" s="65"/>
      <c r="B15" s="10" t="s">
        <v>1195</v>
      </c>
      <c r="D15" s="52" t="s">
        <v>306</v>
      </c>
      <c r="E15" s="52" t="s">
        <v>554</v>
      </c>
      <c r="F15" s="7"/>
      <c r="G15" s="8"/>
      <c r="H15" s="7"/>
      <c r="I15" s="30" t="s">
        <v>286</v>
      </c>
      <c r="J15" s="7"/>
      <c r="K15" s="8"/>
      <c r="L15" s="7"/>
      <c r="M15" s="8"/>
      <c r="N15" s="7"/>
      <c r="O15" s="8"/>
      <c r="P15" s="7"/>
      <c r="Q15" s="7"/>
      <c r="R15" s="8"/>
      <c r="S15" s="7"/>
      <c r="T15" s="9"/>
      <c r="U15" s="7"/>
      <c r="V15" s="8"/>
      <c r="W15" s="7"/>
      <c r="X15" s="7"/>
      <c r="Y15" s="8"/>
      <c r="Z15" s="7"/>
      <c r="AA15" s="57"/>
      <c r="AB15" s="62" t="s">
        <v>38</v>
      </c>
      <c r="AC15" s="62" t="s">
        <v>142</v>
      </c>
    </row>
    <row r="16" spans="1:29" ht="13.5" thickBot="1">
      <c r="B16" s="10" t="s">
        <v>1196</v>
      </c>
      <c r="D16" s="52" t="s">
        <v>1078</v>
      </c>
      <c r="E16" s="52" t="s">
        <v>555</v>
      </c>
      <c r="F16" s="7"/>
      <c r="G16" s="8"/>
      <c r="H16" s="7"/>
      <c r="I16" s="30" t="s">
        <v>705</v>
      </c>
      <c r="J16" s="7"/>
      <c r="K16" s="8"/>
      <c r="L16" s="7"/>
      <c r="M16" s="8"/>
      <c r="N16" s="7"/>
      <c r="O16" s="8"/>
      <c r="P16" s="7"/>
      <c r="Q16" s="7"/>
      <c r="R16" s="8"/>
      <c r="S16" s="7"/>
      <c r="T16" s="9"/>
      <c r="U16" s="7"/>
      <c r="V16" s="8"/>
      <c r="W16" s="7"/>
      <c r="X16" s="7"/>
      <c r="Y16" s="8"/>
      <c r="Z16" s="7"/>
      <c r="AA16" s="57"/>
      <c r="AB16" s="62" t="s">
        <v>38</v>
      </c>
      <c r="AC16" s="62" t="s">
        <v>775</v>
      </c>
    </row>
    <row r="17" spans="2:29" ht="13.5" thickBot="1">
      <c r="B17" s="10" t="s">
        <v>413</v>
      </c>
      <c r="D17" s="52" t="s">
        <v>39</v>
      </c>
      <c r="E17" s="52" t="s">
        <v>533</v>
      </c>
      <c r="F17" s="7"/>
      <c r="G17" s="8"/>
      <c r="H17" s="7"/>
      <c r="I17" s="30" t="s">
        <v>279</v>
      </c>
      <c r="J17" s="7"/>
      <c r="K17" s="8"/>
      <c r="L17" s="7"/>
      <c r="M17" s="8"/>
      <c r="N17" s="7"/>
      <c r="O17" s="8"/>
      <c r="P17" s="7"/>
      <c r="Q17" s="7"/>
      <c r="R17" s="8"/>
      <c r="S17" s="7"/>
      <c r="T17" s="9"/>
      <c r="U17" s="7"/>
      <c r="V17" s="8"/>
      <c r="W17" s="7"/>
      <c r="X17" s="7"/>
      <c r="Y17" s="8"/>
      <c r="Z17" s="7"/>
      <c r="AA17" s="57"/>
      <c r="AB17" s="62" t="s">
        <v>38</v>
      </c>
      <c r="AC17" s="62" t="s">
        <v>1073</v>
      </c>
    </row>
    <row r="18" spans="2:29" ht="13.5" thickBot="1">
      <c r="B18" s="10" t="s">
        <v>1198</v>
      </c>
      <c r="D18" s="52" t="s">
        <v>709</v>
      </c>
      <c r="E18" s="52" t="s">
        <v>668</v>
      </c>
      <c r="F18" s="7"/>
      <c r="G18" s="8"/>
      <c r="H18" s="7"/>
      <c r="I18" s="30" t="s">
        <v>272</v>
      </c>
      <c r="J18" s="7"/>
      <c r="K18" s="8"/>
      <c r="L18" s="7"/>
      <c r="M18" s="8"/>
      <c r="N18" s="7"/>
      <c r="O18" s="8"/>
      <c r="P18" s="7"/>
      <c r="Q18" s="7"/>
      <c r="R18" s="8"/>
      <c r="S18" s="7"/>
      <c r="T18" s="9"/>
      <c r="U18" s="7"/>
      <c r="V18" s="8"/>
      <c r="W18" s="7"/>
      <c r="X18" s="7"/>
      <c r="Y18" s="8"/>
      <c r="Z18" s="7"/>
      <c r="AA18" s="57"/>
      <c r="AB18" s="62" t="s">
        <v>38</v>
      </c>
      <c r="AC18" s="62" t="s">
        <v>1078</v>
      </c>
    </row>
    <row r="19" spans="2:29" ht="13.5" thickBot="1">
      <c r="B19" s="10" t="s">
        <v>1199</v>
      </c>
      <c r="D19" s="52" t="s">
        <v>309</v>
      </c>
      <c r="E19" s="52" t="s">
        <v>667</v>
      </c>
      <c r="F19" s="7"/>
      <c r="G19" s="8"/>
      <c r="H19" s="7"/>
      <c r="I19" s="30" t="s">
        <v>311</v>
      </c>
      <c r="J19" s="7"/>
      <c r="K19" s="8"/>
      <c r="L19" s="7"/>
      <c r="M19" s="8"/>
      <c r="N19" s="7"/>
      <c r="O19" s="8"/>
      <c r="P19" s="7"/>
      <c r="Q19" s="7"/>
      <c r="R19" s="8"/>
      <c r="S19" s="7"/>
      <c r="T19" s="9"/>
      <c r="U19" s="7"/>
      <c r="V19" s="8"/>
      <c r="W19" s="7"/>
      <c r="X19" s="7"/>
      <c r="Y19" s="8"/>
      <c r="Z19" s="7"/>
      <c r="AA19" s="57"/>
      <c r="AB19" s="62" t="s">
        <v>38</v>
      </c>
      <c r="AC19" s="62" t="s">
        <v>1304</v>
      </c>
    </row>
    <row r="20" spans="2:29" ht="13.5" thickBot="1">
      <c r="B20" s="10" t="s">
        <v>135</v>
      </c>
      <c r="D20" s="52" t="s">
        <v>316</v>
      </c>
      <c r="E20" s="52" t="s">
        <v>644</v>
      </c>
      <c r="F20" s="7"/>
      <c r="G20" s="8"/>
      <c r="H20" s="7"/>
      <c r="I20" s="30" t="s">
        <v>320</v>
      </c>
      <c r="J20" s="7"/>
      <c r="K20" s="8"/>
      <c r="L20" s="7"/>
      <c r="M20" s="8"/>
      <c r="N20" s="7"/>
      <c r="O20" s="8"/>
      <c r="P20" s="7"/>
      <c r="Q20" s="7"/>
      <c r="R20" s="8"/>
      <c r="S20" s="7"/>
      <c r="T20" s="9"/>
      <c r="U20" s="7"/>
      <c r="V20" s="8"/>
      <c r="W20" s="7"/>
      <c r="X20" s="7"/>
      <c r="Y20" s="8"/>
      <c r="Z20" s="7"/>
      <c r="AA20" s="57"/>
      <c r="AB20" s="62" t="s">
        <v>38</v>
      </c>
      <c r="AC20" s="62" t="s">
        <v>39</v>
      </c>
    </row>
    <row r="21" spans="2:29" ht="13.5" thickBot="1">
      <c r="B21" s="10" t="s">
        <v>37</v>
      </c>
      <c r="D21" s="52" t="s">
        <v>146</v>
      </c>
      <c r="E21" s="52" t="s">
        <v>582</v>
      </c>
      <c r="F21" s="7"/>
      <c r="G21" s="8"/>
      <c r="H21" s="7"/>
      <c r="I21" s="40" t="s">
        <v>1202</v>
      </c>
      <c r="J21" s="7"/>
      <c r="K21" s="8"/>
      <c r="L21" s="7"/>
      <c r="M21" s="8"/>
      <c r="N21" s="7"/>
      <c r="O21" s="8"/>
      <c r="P21" s="7"/>
      <c r="Q21" s="7"/>
      <c r="R21" s="8"/>
      <c r="S21" s="7"/>
      <c r="T21" s="9"/>
      <c r="U21" s="7"/>
      <c r="V21" s="8"/>
      <c r="W21" s="7"/>
      <c r="X21" s="7"/>
      <c r="Y21" s="8"/>
      <c r="Z21" s="7"/>
      <c r="AA21" s="57"/>
      <c r="AB21" s="62" t="s">
        <v>38</v>
      </c>
      <c r="AC21" s="62" t="s">
        <v>146</v>
      </c>
    </row>
    <row r="22" spans="2:29" ht="13.5" thickBot="1">
      <c r="B22" s="10" t="s">
        <v>1201</v>
      </c>
      <c r="D22" s="52" t="s">
        <v>151</v>
      </c>
      <c r="E22" s="52" t="s">
        <v>545</v>
      </c>
      <c r="F22" s="7"/>
      <c r="G22" s="8"/>
      <c r="H22" s="7"/>
      <c r="I22" s="40" t="s">
        <v>1204</v>
      </c>
      <c r="J22" s="7"/>
      <c r="K22" s="8"/>
      <c r="L22" s="7"/>
      <c r="M22" s="8"/>
      <c r="N22" s="7"/>
      <c r="O22" s="8"/>
      <c r="P22" s="7"/>
      <c r="Q22" s="7"/>
      <c r="R22" s="8"/>
      <c r="S22" s="7"/>
      <c r="T22" s="9"/>
      <c r="U22" s="7"/>
      <c r="V22" s="8"/>
      <c r="W22" s="7"/>
      <c r="X22" s="7"/>
      <c r="Y22" s="8"/>
      <c r="Z22" s="7"/>
      <c r="AA22" s="57"/>
      <c r="AB22" s="62" t="s">
        <v>38</v>
      </c>
      <c r="AC22" s="62" t="s">
        <v>151</v>
      </c>
    </row>
    <row r="23" spans="2:29" ht="13.5" thickBot="1">
      <c r="B23" s="10" t="s">
        <v>1203</v>
      </c>
      <c r="D23" s="52" t="s">
        <v>199</v>
      </c>
      <c r="E23" s="52" t="s">
        <v>663</v>
      </c>
      <c r="F23" s="7"/>
      <c r="G23" s="8"/>
      <c r="H23" s="7"/>
      <c r="I23" s="30" t="s">
        <v>338</v>
      </c>
      <c r="J23" s="7"/>
      <c r="K23" s="8"/>
      <c r="L23" s="7"/>
      <c r="M23" s="8"/>
      <c r="N23" s="7"/>
      <c r="O23" s="8"/>
      <c r="P23" s="7"/>
      <c r="Q23" s="7"/>
      <c r="R23" s="8"/>
      <c r="S23" s="7"/>
      <c r="T23" s="9"/>
      <c r="U23" s="7"/>
      <c r="V23" s="8"/>
      <c r="W23" s="7"/>
      <c r="X23" s="7"/>
      <c r="Y23" s="8"/>
      <c r="Z23" s="7"/>
      <c r="AA23" s="57"/>
      <c r="AB23" s="62" t="s">
        <v>38</v>
      </c>
      <c r="AC23" s="62" t="s">
        <v>199</v>
      </c>
    </row>
    <row r="24" spans="2:29" ht="13.5" thickBot="1">
      <c r="B24" s="10" t="s">
        <v>1205</v>
      </c>
      <c r="D24" s="52" t="s">
        <v>475</v>
      </c>
      <c r="E24" s="52" t="s">
        <v>624</v>
      </c>
      <c r="F24" s="7"/>
      <c r="G24" s="8"/>
      <c r="H24" s="7"/>
      <c r="I24" s="30" t="s">
        <v>708</v>
      </c>
      <c r="J24" s="7"/>
      <c r="K24" s="8"/>
      <c r="L24" s="7"/>
      <c r="M24" s="8"/>
      <c r="N24" s="7"/>
      <c r="O24" s="8"/>
      <c r="P24" s="7"/>
      <c r="Q24" s="7"/>
      <c r="R24" s="8"/>
      <c r="S24" s="7"/>
      <c r="T24" s="9"/>
      <c r="U24" s="7"/>
      <c r="V24" s="8"/>
      <c r="W24" s="7"/>
      <c r="X24" s="7"/>
      <c r="Y24" s="8"/>
      <c r="Z24" s="7"/>
      <c r="AA24" s="57"/>
      <c r="AB24" s="62" t="s">
        <v>38</v>
      </c>
      <c r="AC24" s="62" t="s">
        <v>153</v>
      </c>
    </row>
    <row r="25" spans="2:29" ht="13.5" thickBot="1">
      <c r="B25" s="10" t="s">
        <v>1206</v>
      </c>
      <c r="D25" s="52" t="s">
        <v>712</v>
      </c>
      <c r="E25" s="52" t="s">
        <v>617</v>
      </c>
      <c r="F25" s="7"/>
      <c r="G25" s="8"/>
      <c r="H25" s="7"/>
      <c r="I25" s="40" t="s">
        <v>1208</v>
      </c>
      <c r="J25" s="7"/>
      <c r="K25" s="8"/>
      <c r="L25" s="7"/>
      <c r="M25" s="8"/>
      <c r="N25" s="7"/>
      <c r="O25" s="8"/>
      <c r="P25" s="7"/>
      <c r="Q25" s="7"/>
      <c r="R25" s="8"/>
      <c r="S25" s="7"/>
      <c r="T25" s="9"/>
      <c r="U25" s="7"/>
      <c r="V25" s="8"/>
      <c r="W25" s="7"/>
      <c r="X25" s="7"/>
      <c r="Y25" s="8"/>
      <c r="Z25" s="7"/>
      <c r="AA25" s="57"/>
      <c r="AB25" s="62" t="s">
        <v>38</v>
      </c>
      <c r="AC25" s="62" t="s">
        <v>1197</v>
      </c>
    </row>
    <row r="26" spans="2:29" ht="13.5" thickBot="1">
      <c r="B26" s="10" t="s">
        <v>297</v>
      </c>
      <c r="D26" s="52" t="s">
        <v>403</v>
      </c>
      <c r="E26" s="52" t="s">
        <v>608</v>
      </c>
      <c r="F26" s="7"/>
      <c r="G26" s="8"/>
      <c r="H26" s="7"/>
      <c r="I26" s="30" t="s">
        <v>465</v>
      </c>
      <c r="J26" s="7"/>
      <c r="K26" s="8"/>
      <c r="L26" s="7"/>
      <c r="M26" s="8"/>
      <c r="N26" s="7"/>
      <c r="O26" s="8"/>
      <c r="P26" s="7"/>
      <c r="Q26" s="7"/>
      <c r="R26" s="8"/>
      <c r="S26" s="7"/>
      <c r="T26" s="9"/>
      <c r="U26" s="7"/>
      <c r="V26" s="8"/>
      <c r="W26" s="7"/>
      <c r="X26" s="7"/>
      <c r="Y26" s="8"/>
      <c r="Z26" s="7"/>
      <c r="AA26" s="57"/>
      <c r="AB26" s="62" t="s">
        <v>38</v>
      </c>
      <c r="AC26" s="62" t="s">
        <v>167</v>
      </c>
    </row>
    <row r="27" spans="2:29" ht="13.5" thickBot="1">
      <c r="B27" s="10" t="s">
        <v>312</v>
      </c>
      <c r="D27" s="52" t="s">
        <v>153</v>
      </c>
      <c r="E27" s="52" t="s">
        <v>536</v>
      </c>
      <c r="F27" s="7"/>
      <c r="G27" s="8"/>
      <c r="H27" s="7"/>
      <c r="I27" s="30" t="s">
        <v>343</v>
      </c>
      <c r="J27" s="7"/>
      <c r="K27" s="8"/>
      <c r="L27" s="7"/>
      <c r="M27" s="8"/>
      <c r="N27" s="7"/>
      <c r="O27" s="8"/>
      <c r="P27" s="7"/>
      <c r="Q27" s="7"/>
      <c r="R27" s="8"/>
      <c r="S27" s="7"/>
      <c r="T27" s="9"/>
      <c r="U27" s="7"/>
      <c r="V27" s="8"/>
      <c r="W27" s="7"/>
      <c r="X27" s="7"/>
      <c r="Y27" s="8"/>
      <c r="Z27" s="7"/>
      <c r="AA27" s="57"/>
      <c r="AB27" s="62" t="s">
        <v>38</v>
      </c>
      <c r="AC27" s="62" t="s">
        <v>208</v>
      </c>
    </row>
    <row r="28" spans="2:29" ht="13.5" thickBot="1">
      <c r="B28" s="10" t="s">
        <v>1209</v>
      </c>
      <c r="D28" s="52" t="s">
        <v>703</v>
      </c>
      <c r="E28" s="52" t="s">
        <v>584</v>
      </c>
      <c r="F28" s="7"/>
      <c r="G28" s="8"/>
      <c r="H28" s="7"/>
      <c r="I28" s="30" t="s">
        <v>300</v>
      </c>
      <c r="J28" s="7"/>
      <c r="K28" s="8"/>
      <c r="L28" s="7"/>
      <c r="M28" s="8"/>
      <c r="N28" s="7"/>
      <c r="O28" s="8"/>
      <c r="P28" s="7"/>
      <c r="Q28" s="7"/>
      <c r="R28" s="8"/>
      <c r="S28" s="7"/>
      <c r="T28" s="9"/>
      <c r="U28" s="7"/>
      <c r="V28" s="8"/>
      <c r="W28" s="7"/>
      <c r="X28" s="7"/>
      <c r="Y28" s="8"/>
      <c r="Z28" s="7"/>
      <c r="AA28" s="57"/>
      <c r="AB28" s="62" t="s">
        <v>38</v>
      </c>
      <c r="AC28" s="62" t="s">
        <v>178</v>
      </c>
    </row>
    <row r="29" spans="2:29" ht="13.5" thickBot="1">
      <c r="B29" s="10" t="s">
        <v>1210</v>
      </c>
      <c r="C29" s="65"/>
      <c r="D29" s="52" t="s">
        <v>723</v>
      </c>
      <c r="E29" s="52" t="s">
        <v>591</v>
      </c>
      <c r="F29" s="7"/>
      <c r="G29" s="8"/>
      <c r="H29" s="7"/>
      <c r="I29" s="30" t="s">
        <v>293</v>
      </c>
      <c r="J29" s="7"/>
      <c r="K29" s="8"/>
      <c r="L29" s="7"/>
      <c r="M29" s="8"/>
      <c r="N29" s="7"/>
      <c r="O29" s="8"/>
      <c r="P29" s="7"/>
      <c r="Q29" s="7"/>
      <c r="R29" s="8"/>
      <c r="S29" s="7"/>
      <c r="T29" s="9"/>
      <c r="U29" s="7"/>
      <c r="V29" s="8"/>
      <c r="W29" s="7"/>
      <c r="X29" s="7"/>
      <c r="Y29" s="8"/>
      <c r="Z29" s="7"/>
      <c r="AA29" s="57"/>
      <c r="AB29" s="62" t="s">
        <v>38</v>
      </c>
      <c r="AC29" s="62" t="s">
        <v>1139</v>
      </c>
    </row>
    <row r="30" spans="2:29" ht="13.5" thickBot="1">
      <c r="B30" s="10" t="s">
        <v>186</v>
      </c>
      <c r="D30" s="52" t="s">
        <v>1127</v>
      </c>
      <c r="E30" s="52" t="s">
        <v>653</v>
      </c>
      <c r="F30" s="7"/>
      <c r="G30" s="8"/>
      <c r="H30" s="7"/>
      <c r="I30" s="40" t="s">
        <v>1212</v>
      </c>
      <c r="J30" s="7"/>
      <c r="K30" s="8"/>
      <c r="L30" s="7"/>
      <c r="M30" s="8"/>
      <c r="N30" s="7"/>
      <c r="O30" s="8"/>
      <c r="P30" s="7"/>
      <c r="Q30" s="7"/>
      <c r="R30" s="8"/>
      <c r="S30" s="7"/>
      <c r="T30" s="9"/>
      <c r="U30" s="7"/>
      <c r="V30" s="8"/>
      <c r="W30" s="7"/>
      <c r="X30" s="7"/>
      <c r="Y30" s="8"/>
      <c r="Z30" s="7"/>
      <c r="AA30" s="57"/>
      <c r="AB30" s="62" t="s">
        <v>38</v>
      </c>
      <c r="AC30" s="62" t="s">
        <v>1200</v>
      </c>
    </row>
    <row r="31" spans="2:29" ht="13.5" thickBot="1">
      <c r="B31" s="10" t="s">
        <v>1211</v>
      </c>
      <c r="D31" s="52" t="s">
        <v>406</v>
      </c>
      <c r="E31" s="52" t="s">
        <v>654</v>
      </c>
      <c r="F31" s="7"/>
      <c r="G31" s="8"/>
      <c r="H31" s="7"/>
      <c r="I31" s="30" t="s">
        <v>238</v>
      </c>
      <c r="J31" s="7"/>
      <c r="K31" s="8"/>
      <c r="L31" s="7"/>
      <c r="M31" s="8"/>
      <c r="N31" s="7"/>
      <c r="O31" s="8"/>
      <c r="P31" s="7"/>
      <c r="Q31" s="7"/>
      <c r="R31" s="8"/>
      <c r="S31" s="7"/>
      <c r="T31" s="9"/>
      <c r="U31" s="7"/>
      <c r="V31" s="8"/>
      <c r="W31" s="7"/>
      <c r="X31" s="7"/>
      <c r="Y31" s="8"/>
      <c r="Z31" s="7"/>
      <c r="AA31" s="57"/>
      <c r="AB31" s="62" t="s">
        <v>38</v>
      </c>
      <c r="AC31" s="62" t="s">
        <v>136</v>
      </c>
    </row>
    <row r="32" spans="2:29" ht="13.5" thickBot="1">
      <c r="B32" s="10" t="s">
        <v>1214</v>
      </c>
      <c r="D32" s="52" t="s">
        <v>456</v>
      </c>
      <c r="E32" s="52" t="s">
        <v>946</v>
      </c>
      <c r="F32" s="7"/>
      <c r="G32" s="8"/>
      <c r="H32" s="7"/>
      <c r="I32" s="30" t="s">
        <v>726</v>
      </c>
      <c r="J32" s="7"/>
      <c r="K32" s="8"/>
      <c r="L32" s="7"/>
      <c r="M32" s="8"/>
      <c r="N32" s="7"/>
      <c r="O32" s="8"/>
      <c r="P32" s="7"/>
      <c r="Q32" s="7"/>
      <c r="R32" s="8"/>
      <c r="S32" s="7"/>
      <c r="T32" s="9"/>
      <c r="U32" s="7"/>
      <c r="V32" s="8"/>
      <c r="W32" s="7"/>
      <c r="X32" s="7"/>
      <c r="Y32" s="8"/>
      <c r="Z32" s="7"/>
      <c r="AA32" s="57"/>
      <c r="AB32" s="62" t="s">
        <v>2706</v>
      </c>
      <c r="AC32" s="62" t="s">
        <v>323</v>
      </c>
    </row>
    <row r="33" spans="2:29" ht="13.5" thickBot="1">
      <c r="B33" s="10" t="s">
        <v>1215</v>
      </c>
      <c r="D33" s="52" t="s">
        <v>167</v>
      </c>
      <c r="E33" s="52" t="s">
        <v>535</v>
      </c>
      <c r="F33" s="7"/>
      <c r="G33" s="8"/>
      <c r="H33" s="7"/>
      <c r="I33" s="18" t="s">
        <v>291</v>
      </c>
      <c r="J33" s="7"/>
      <c r="K33" s="8"/>
      <c r="L33" s="7"/>
      <c r="M33" s="8"/>
      <c r="N33" s="7"/>
      <c r="O33" s="8"/>
      <c r="P33" s="7"/>
      <c r="Q33" s="7"/>
      <c r="R33" s="8"/>
      <c r="S33" s="7"/>
      <c r="T33" s="9"/>
      <c r="U33" s="7"/>
      <c r="V33" s="8"/>
      <c r="W33" s="7"/>
      <c r="X33" s="7"/>
      <c r="Y33" s="8"/>
      <c r="Z33" s="7"/>
      <c r="AA33" s="57"/>
      <c r="AB33" s="62" t="s">
        <v>2706</v>
      </c>
      <c r="AC33" s="62" t="s">
        <v>309</v>
      </c>
    </row>
    <row r="34" spans="2:29" ht="13.5" thickBot="1">
      <c r="B34" s="10" t="s">
        <v>1915</v>
      </c>
      <c r="D34" s="52" t="s">
        <v>358</v>
      </c>
      <c r="E34" s="52" t="s">
        <v>664</v>
      </c>
      <c r="F34" s="7"/>
      <c r="G34" s="8"/>
      <c r="H34" s="7"/>
      <c r="I34" s="18" t="s">
        <v>1648</v>
      </c>
      <c r="J34" s="7"/>
      <c r="K34" s="8"/>
      <c r="L34" s="7"/>
      <c r="M34" s="8"/>
      <c r="N34" s="7"/>
      <c r="O34" s="8"/>
      <c r="P34" s="7"/>
      <c r="Q34" s="7"/>
      <c r="R34" s="8"/>
      <c r="S34" s="7"/>
      <c r="T34" s="9"/>
      <c r="U34" s="7"/>
      <c r="V34" s="8"/>
      <c r="W34" s="7"/>
      <c r="X34" s="7"/>
      <c r="Y34" s="8"/>
      <c r="Z34" s="7"/>
      <c r="AA34" s="57"/>
      <c r="AB34" s="62" t="s">
        <v>2706</v>
      </c>
      <c r="AC34" s="62" t="s">
        <v>341</v>
      </c>
    </row>
    <row r="35" spans="2:29" ht="13.5" thickBot="1">
      <c r="B35" s="10" t="s">
        <v>1216</v>
      </c>
      <c r="D35" s="52" t="s">
        <v>341</v>
      </c>
      <c r="E35" s="52" t="s">
        <v>622</v>
      </c>
      <c r="F35" s="7"/>
      <c r="G35" s="8"/>
      <c r="H35" s="7"/>
      <c r="I35" s="30" t="s">
        <v>1883</v>
      </c>
      <c r="J35" s="7"/>
      <c r="K35" s="8"/>
      <c r="L35" s="7"/>
      <c r="M35" s="8"/>
      <c r="N35" s="7"/>
      <c r="O35" s="8"/>
      <c r="P35" s="7"/>
      <c r="Q35" s="7"/>
      <c r="R35" s="8"/>
      <c r="S35" s="7"/>
      <c r="T35" s="9"/>
      <c r="U35" s="7"/>
      <c r="V35" s="8"/>
      <c r="W35" s="7"/>
      <c r="X35" s="7"/>
      <c r="Y35" s="8"/>
      <c r="Z35" s="7"/>
      <c r="AA35" s="57"/>
      <c r="AB35" s="62" t="s">
        <v>298</v>
      </c>
      <c r="AC35" s="62" t="s">
        <v>329</v>
      </c>
    </row>
    <row r="36" spans="2:29" ht="13.5" thickBot="1">
      <c r="B36" s="10" t="s">
        <v>373</v>
      </c>
      <c r="D36" s="52" t="s">
        <v>208</v>
      </c>
      <c r="E36" s="52" t="s">
        <v>656</v>
      </c>
      <c r="F36" s="7"/>
      <c r="G36" s="8"/>
      <c r="H36" s="7"/>
      <c r="I36" s="30" t="s">
        <v>138</v>
      </c>
      <c r="J36" s="7"/>
      <c r="K36" s="8"/>
      <c r="L36" s="7"/>
      <c r="M36" s="8"/>
      <c r="N36" s="7"/>
      <c r="O36" s="8"/>
      <c r="P36" s="7"/>
      <c r="Q36" s="7"/>
      <c r="R36" s="8"/>
      <c r="S36" s="7"/>
      <c r="T36" s="9"/>
      <c r="U36" s="7"/>
      <c r="V36" s="8"/>
      <c r="W36" s="7"/>
      <c r="X36" s="7"/>
      <c r="Y36" s="8"/>
      <c r="Z36" s="7"/>
      <c r="AA36" s="57"/>
      <c r="AB36" s="62" t="s">
        <v>298</v>
      </c>
      <c r="AC36" s="62" t="s">
        <v>1207</v>
      </c>
    </row>
    <row r="37" spans="2:29" ht="13.5" thickBot="1">
      <c r="B37" s="10" t="s">
        <v>1217</v>
      </c>
      <c r="D37" s="52" t="s">
        <v>299</v>
      </c>
      <c r="E37" s="52" t="s">
        <v>572</v>
      </c>
      <c r="F37" s="7"/>
      <c r="G37" s="8"/>
      <c r="H37" s="7"/>
      <c r="I37" s="30" t="s">
        <v>1883</v>
      </c>
      <c r="J37" s="7"/>
      <c r="K37" s="8"/>
      <c r="L37" s="7"/>
      <c r="M37" s="8"/>
      <c r="N37" s="7"/>
      <c r="O37" s="8"/>
      <c r="P37" s="7"/>
      <c r="Q37" s="7"/>
      <c r="R37" s="8"/>
      <c r="S37" s="7"/>
      <c r="T37" s="9"/>
      <c r="U37" s="7"/>
      <c r="V37" s="8"/>
      <c r="W37" s="7"/>
      <c r="X37" s="7"/>
      <c r="Y37" s="8"/>
      <c r="Z37" s="7"/>
      <c r="AA37" s="57"/>
      <c r="AB37" s="62" t="s">
        <v>298</v>
      </c>
      <c r="AC37" s="62" t="s">
        <v>1213</v>
      </c>
    </row>
    <row r="38" spans="2:29" ht="13.5" thickBot="1">
      <c r="B38" s="10" t="s">
        <v>303</v>
      </c>
      <c r="D38" s="52" t="s">
        <v>178</v>
      </c>
      <c r="E38" s="52" t="s">
        <v>606</v>
      </c>
      <c r="F38" s="7"/>
      <c r="G38" s="8"/>
      <c r="H38" s="7"/>
      <c r="I38" s="40" t="s">
        <v>793</v>
      </c>
      <c r="J38" s="7"/>
      <c r="K38" s="8"/>
      <c r="L38" s="7"/>
      <c r="M38" s="8"/>
      <c r="N38" s="7"/>
      <c r="O38" s="8"/>
      <c r="P38" s="7"/>
      <c r="Q38" s="7"/>
      <c r="R38" s="8"/>
      <c r="S38" s="7"/>
      <c r="T38" s="9"/>
      <c r="U38" s="7"/>
      <c r="V38" s="8"/>
      <c r="W38" s="7"/>
      <c r="X38" s="7"/>
      <c r="Y38" s="8"/>
      <c r="Z38" s="7"/>
      <c r="AA38" s="57"/>
      <c r="AB38" s="62" t="s">
        <v>298</v>
      </c>
      <c r="AC38" s="62" t="s">
        <v>1218</v>
      </c>
    </row>
    <row r="39" spans="2:29" ht="13.5" thickBot="1">
      <c r="B39" s="10" t="s">
        <v>1219</v>
      </c>
      <c r="D39" s="52" t="s">
        <v>136</v>
      </c>
      <c r="E39" s="52" t="s">
        <v>1221</v>
      </c>
      <c r="F39" s="7"/>
      <c r="G39" s="8"/>
      <c r="H39" s="7"/>
      <c r="I39" s="30" t="s">
        <v>235</v>
      </c>
      <c r="J39" s="7"/>
      <c r="K39" s="8"/>
      <c r="L39" s="7"/>
      <c r="M39" s="8"/>
      <c r="N39" s="7"/>
      <c r="O39" s="8"/>
      <c r="P39" s="7"/>
      <c r="Q39" s="7"/>
      <c r="R39" s="8"/>
      <c r="S39" s="7"/>
      <c r="T39" s="9"/>
      <c r="U39" s="7"/>
      <c r="V39" s="8"/>
      <c r="W39" s="7"/>
      <c r="X39" s="7"/>
      <c r="Y39" s="8"/>
      <c r="Z39" s="7"/>
      <c r="AA39" s="57"/>
      <c r="AB39" s="62" t="s">
        <v>298</v>
      </c>
      <c r="AC39" s="62" t="s">
        <v>1220</v>
      </c>
    </row>
    <row r="40" spans="2:29" ht="13.5" thickBot="1">
      <c r="B40" s="10" t="s">
        <v>370</v>
      </c>
      <c r="D40" s="52"/>
      <c r="E40" s="52" t="s">
        <v>635</v>
      </c>
      <c r="F40" s="7"/>
      <c r="G40" s="8"/>
      <c r="H40" s="7"/>
      <c r="I40" s="30" t="s">
        <v>240</v>
      </c>
      <c r="J40" s="7"/>
      <c r="K40" s="8"/>
      <c r="L40" s="7"/>
      <c r="M40" s="8"/>
      <c r="N40" s="7"/>
      <c r="O40" s="8"/>
      <c r="P40" s="7"/>
      <c r="Q40" s="7"/>
      <c r="R40" s="8"/>
      <c r="S40" s="7"/>
      <c r="T40" s="9"/>
      <c r="U40" s="7"/>
      <c r="V40" s="8"/>
      <c r="W40" s="7"/>
      <c r="X40" s="7"/>
      <c r="Y40" s="8"/>
      <c r="Z40" s="7"/>
      <c r="AA40" s="57"/>
      <c r="AB40" s="62" t="s">
        <v>702</v>
      </c>
      <c r="AC40" s="62" t="s">
        <v>1222</v>
      </c>
    </row>
    <row r="41" spans="2:29" ht="13.5" thickBot="1">
      <c r="B41" s="10" t="s">
        <v>1223</v>
      </c>
      <c r="D41" s="52"/>
      <c r="E41" s="52" t="s">
        <v>650</v>
      </c>
      <c r="F41" s="7"/>
      <c r="G41" s="8"/>
      <c r="H41" s="7"/>
      <c r="I41" s="30" t="s">
        <v>188</v>
      </c>
      <c r="J41" s="7"/>
      <c r="K41" s="8"/>
      <c r="L41" s="7"/>
      <c r="M41" s="8"/>
      <c r="N41" s="7"/>
      <c r="O41" s="8"/>
      <c r="P41" s="7"/>
      <c r="Q41" s="7"/>
      <c r="R41" s="8"/>
      <c r="S41" s="7"/>
      <c r="T41" s="9"/>
      <c r="U41" s="7"/>
      <c r="V41" s="8"/>
      <c r="W41" s="7"/>
      <c r="X41" s="7"/>
      <c r="Y41" s="8"/>
      <c r="Z41" s="7"/>
      <c r="AA41" s="57"/>
      <c r="AB41" s="62" t="s">
        <v>702</v>
      </c>
      <c r="AC41" s="62" t="s">
        <v>1224</v>
      </c>
    </row>
    <row r="42" spans="2:29" ht="13.5" thickBot="1">
      <c r="B42" s="10" t="s">
        <v>1225</v>
      </c>
      <c r="D42" s="52"/>
      <c r="E42" s="52" t="s">
        <v>586</v>
      </c>
      <c r="F42" s="7"/>
      <c r="G42" s="8"/>
      <c r="H42" s="7"/>
      <c r="I42" s="30" t="s">
        <v>193</v>
      </c>
      <c r="J42" s="7"/>
      <c r="K42" s="8"/>
      <c r="L42" s="7"/>
      <c r="M42" s="8"/>
      <c r="N42" s="7"/>
      <c r="O42" s="8"/>
      <c r="P42" s="7"/>
      <c r="Q42" s="7"/>
      <c r="R42" s="8"/>
      <c r="S42" s="7"/>
      <c r="T42" s="9"/>
      <c r="U42" s="7"/>
      <c r="V42" s="8"/>
      <c r="W42" s="7"/>
      <c r="X42" s="7"/>
      <c r="Y42" s="8"/>
      <c r="Z42" s="7"/>
      <c r="AA42" s="57"/>
      <c r="AB42" s="62" t="s">
        <v>702</v>
      </c>
      <c r="AC42" s="62" t="s">
        <v>1226</v>
      </c>
    </row>
    <row r="43" spans="2:29" ht="13.5" thickBot="1">
      <c r="B43" s="416" t="s">
        <v>2309</v>
      </c>
      <c r="D43" s="52"/>
      <c r="E43" s="52" t="s">
        <v>548</v>
      </c>
      <c r="F43" s="7"/>
      <c r="G43" s="8"/>
      <c r="H43" s="7"/>
      <c r="I43" s="30" t="s">
        <v>202</v>
      </c>
      <c r="J43" s="7"/>
      <c r="K43" s="8"/>
      <c r="L43" s="7"/>
      <c r="M43" s="8"/>
      <c r="N43" s="7"/>
      <c r="O43" s="8"/>
      <c r="P43" s="7"/>
      <c r="Q43" s="7"/>
      <c r="R43" s="8"/>
      <c r="S43" s="7"/>
      <c r="T43" s="9"/>
      <c r="U43" s="7"/>
      <c r="V43" s="8"/>
      <c r="W43" s="7"/>
      <c r="X43" s="7"/>
      <c r="Y43" s="8"/>
      <c r="Z43" s="7"/>
      <c r="AA43" s="57"/>
      <c r="AB43" s="62" t="s">
        <v>702</v>
      </c>
      <c r="AC43" s="62" t="s">
        <v>1228</v>
      </c>
    </row>
    <row r="44" spans="2:29" ht="13.5" thickBot="1">
      <c r="B44" s="416" t="s">
        <v>2703</v>
      </c>
      <c r="D44" s="52"/>
      <c r="E44" s="52" t="s">
        <v>655</v>
      </c>
      <c r="F44" s="7"/>
      <c r="G44" s="8"/>
      <c r="H44" s="7"/>
      <c r="I44" s="30" t="s">
        <v>716</v>
      </c>
      <c r="J44" s="7"/>
      <c r="K44" s="8"/>
      <c r="L44" s="7"/>
      <c r="M44" s="8"/>
      <c r="N44" s="7"/>
      <c r="O44" s="8"/>
      <c r="P44" s="7"/>
      <c r="Q44" s="7"/>
      <c r="R44" s="8"/>
      <c r="S44" s="7"/>
      <c r="T44" s="9"/>
      <c r="U44" s="7"/>
      <c r="V44" s="8"/>
      <c r="W44" s="7"/>
      <c r="X44" s="7"/>
      <c r="Y44" s="8"/>
      <c r="Z44" s="7"/>
      <c r="AA44" s="57"/>
      <c r="AB44" s="62" t="s">
        <v>702</v>
      </c>
      <c r="AC44" s="62" t="s">
        <v>1229</v>
      </c>
    </row>
    <row r="45" spans="2:29" ht="13.5" thickBot="1">
      <c r="B45" s="416" t="s">
        <v>2555</v>
      </c>
      <c r="D45" s="52"/>
      <c r="E45" s="52" t="s">
        <v>549</v>
      </c>
      <c r="F45" s="7"/>
      <c r="G45" s="8"/>
      <c r="H45" s="7"/>
      <c r="I45" s="30" t="s">
        <v>191</v>
      </c>
      <c r="J45" s="7"/>
      <c r="K45" s="8"/>
      <c r="L45" s="7"/>
      <c r="M45" s="8"/>
      <c r="N45" s="7"/>
      <c r="O45" s="8"/>
      <c r="P45" s="7"/>
      <c r="Q45" s="7"/>
      <c r="R45" s="8"/>
      <c r="S45" s="7"/>
      <c r="T45" s="9"/>
      <c r="U45" s="7"/>
      <c r="V45" s="8"/>
      <c r="W45" s="7"/>
      <c r="X45" s="7"/>
      <c r="Y45" s="8"/>
      <c r="Z45" s="7"/>
      <c r="AA45" s="57"/>
      <c r="AB45" s="62" t="s">
        <v>702</v>
      </c>
      <c r="AC45" s="62" t="s">
        <v>721</v>
      </c>
    </row>
    <row r="46" spans="2:29" ht="13.5" thickBot="1">
      <c r="B46" s="10" t="s">
        <v>1227</v>
      </c>
      <c r="D46" s="52"/>
      <c r="E46" s="52" t="s">
        <v>945</v>
      </c>
      <c r="F46" s="7"/>
      <c r="G46" s="8"/>
      <c r="H46" s="7"/>
      <c r="I46" s="30" t="s">
        <v>206</v>
      </c>
      <c r="J46" s="7"/>
      <c r="K46" s="8"/>
      <c r="L46" s="7"/>
      <c r="M46" s="8"/>
      <c r="N46" s="7"/>
      <c r="O46" s="8"/>
      <c r="P46" s="7"/>
      <c r="Q46" s="7"/>
      <c r="R46" s="8"/>
      <c r="S46" s="7"/>
      <c r="T46" s="9"/>
      <c r="U46" s="7"/>
      <c r="V46" s="8"/>
      <c r="W46" s="7"/>
      <c r="X46" s="7"/>
      <c r="Y46" s="8"/>
      <c r="Z46" s="7"/>
      <c r="AA46" s="57"/>
      <c r="AB46" s="62" t="s">
        <v>702</v>
      </c>
      <c r="AC46" s="62" t="s">
        <v>743</v>
      </c>
    </row>
    <row r="47" spans="2:29" ht="13.5" thickBot="1">
      <c r="B47" s="10" t="s">
        <v>402</v>
      </c>
      <c r="D47" s="52"/>
      <c r="E47" s="52" t="s">
        <v>648</v>
      </c>
      <c r="F47" s="7"/>
      <c r="G47" s="8"/>
      <c r="H47" s="7"/>
      <c r="I47" s="30" t="s">
        <v>196</v>
      </c>
      <c r="J47" s="7"/>
      <c r="K47" s="8"/>
      <c r="L47" s="7"/>
      <c r="M47" s="8"/>
      <c r="N47" s="7"/>
      <c r="O47" s="8"/>
      <c r="P47" s="7"/>
      <c r="Q47" s="7"/>
      <c r="R47" s="8"/>
      <c r="S47" s="7"/>
      <c r="T47" s="9"/>
      <c r="U47" s="7"/>
      <c r="V47" s="8"/>
      <c r="W47" s="7"/>
      <c r="X47" s="7"/>
      <c r="Y47" s="8"/>
      <c r="Z47" s="7"/>
      <c r="AA47" s="57"/>
      <c r="AB47" s="62" t="s">
        <v>702</v>
      </c>
      <c r="AC47" s="62" t="s">
        <v>1232</v>
      </c>
    </row>
    <row r="48" spans="2:29" ht="13.5" thickBot="1">
      <c r="B48" s="10" t="s">
        <v>291</v>
      </c>
      <c r="D48" s="52"/>
      <c r="E48" s="52" t="s">
        <v>922</v>
      </c>
      <c r="F48" s="7"/>
      <c r="G48" s="8"/>
      <c r="H48" s="7"/>
      <c r="I48" s="30" t="s">
        <v>720</v>
      </c>
      <c r="J48" s="7"/>
      <c r="K48" s="8"/>
      <c r="L48" s="7"/>
      <c r="M48" s="8"/>
      <c r="N48" s="7"/>
      <c r="O48" s="8"/>
      <c r="P48" s="7"/>
      <c r="Q48" s="7"/>
      <c r="R48" s="8"/>
      <c r="S48" s="7"/>
      <c r="T48" s="9"/>
      <c r="U48" s="7"/>
      <c r="V48" s="8"/>
      <c r="W48" s="7"/>
      <c r="X48" s="7"/>
      <c r="Y48" s="8"/>
      <c r="Z48" s="7"/>
      <c r="AA48" s="57"/>
      <c r="AB48" s="62" t="s">
        <v>702</v>
      </c>
      <c r="AC48" s="62" t="s">
        <v>1234</v>
      </c>
    </row>
    <row r="49" spans="2:29" ht="13.5" thickBot="1">
      <c r="B49" s="10" t="s">
        <v>1230</v>
      </c>
      <c r="D49" s="52"/>
      <c r="E49" s="52" t="s">
        <v>588</v>
      </c>
      <c r="F49" s="7"/>
      <c r="G49" s="8"/>
      <c r="H49" s="7"/>
      <c r="I49" s="30" t="s">
        <v>739</v>
      </c>
      <c r="J49" s="7"/>
      <c r="K49" s="8"/>
      <c r="L49" s="7"/>
      <c r="M49" s="8"/>
      <c r="N49" s="7"/>
      <c r="O49" s="8"/>
      <c r="P49" s="7"/>
      <c r="Q49" s="7"/>
      <c r="R49" s="8"/>
      <c r="S49" s="7"/>
      <c r="T49" s="9"/>
      <c r="U49" s="7"/>
      <c r="V49" s="8"/>
      <c r="W49" s="7"/>
      <c r="X49" s="7"/>
      <c r="Y49" s="8"/>
      <c r="Z49" s="7"/>
      <c r="AA49" s="57"/>
      <c r="AB49" s="62" t="s">
        <v>702</v>
      </c>
      <c r="AC49" s="62" t="s">
        <v>1235</v>
      </c>
    </row>
    <row r="50" spans="2:29" ht="13.5" thickBot="1">
      <c r="B50" s="10" t="s">
        <v>1231</v>
      </c>
      <c r="D50" s="52"/>
      <c r="E50" s="52" t="s">
        <v>576</v>
      </c>
      <c r="F50" s="7"/>
      <c r="G50" s="8"/>
      <c r="H50" s="7"/>
      <c r="I50" s="30" t="s">
        <v>719</v>
      </c>
      <c r="J50" s="7"/>
      <c r="K50" s="8"/>
      <c r="L50" s="7"/>
      <c r="M50" s="8"/>
      <c r="N50" s="7"/>
      <c r="O50" s="8"/>
      <c r="P50" s="7"/>
      <c r="Q50" s="7"/>
      <c r="R50" s="8"/>
      <c r="S50" s="7"/>
      <c r="T50" s="9"/>
      <c r="U50" s="7"/>
      <c r="V50" s="8"/>
      <c r="W50" s="7"/>
      <c r="X50" s="7"/>
      <c r="Y50" s="8"/>
      <c r="Z50" s="7"/>
      <c r="AA50" s="57"/>
      <c r="AB50" s="62" t="s">
        <v>702</v>
      </c>
      <c r="AC50" s="62" t="s">
        <v>1236</v>
      </c>
    </row>
    <row r="51" spans="2:29" ht="13.5" thickBot="1">
      <c r="B51" s="10" t="s">
        <v>1233</v>
      </c>
      <c r="D51" s="52"/>
      <c r="E51" s="52" t="s">
        <v>537</v>
      </c>
      <c r="F51" s="7"/>
      <c r="G51" s="8"/>
      <c r="H51" s="7"/>
      <c r="I51" s="30" t="s">
        <v>212</v>
      </c>
      <c r="J51" s="7"/>
      <c r="K51" s="8"/>
      <c r="L51" s="7"/>
      <c r="M51" s="8"/>
      <c r="N51" s="7"/>
      <c r="O51" s="8"/>
      <c r="P51" s="7"/>
      <c r="Q51" s="7"/>
      <c r="R51" s="8"/>
      <c r="S51" s="7"/>
      <c r="T51" s="9"/>
      <c r="U51" s="7"/>
      <c r="V51" s="8"/>
      <c r="W51" s="7"/>
      <c r="X51" s="7"/>
      <c r="Y51" s="8"/>
      <c r="Z51" s="7"/>
      <c r="AA51" s="57"/>
      <c r="AB51" s="62" t="s">
        <v>702</v>
      </c>
      <c r="AC51" s="62" t="s">
        <v>1238</v>
      </c>
    </row>
    <row r="52" spans="2:29" ht="13.5" thickBot="1">
      <c r="B52" s="10" t="s">
        <v>236</v>
      </c>
      <c r="C52" s="65"/>
      <c r="D52" s="52"/>
      <c r="E52" s="52" t="s">
        <v>590</v>
      </c>
      <c r="F52" s="7"/>
      <c r="G52" s="8"/>
      <c r="H52" s="7"/>
      <c r="I52" s="30" t="s">
        <v>325</v>
      </c>
      <c r="J52" s="7"/>
      <c r="K52" s="8"/>
      <c r="L52" s="7"/>
      <c r="M52" s="8"/>
      <c r="N52" s="7"/>
      <c r="O52" s="8"/>
      <c r="P52" s="7"/>
      <c r="Q52" s="7"/>
      <c r="R52" s="8"/>
      <c r="S52" s="7"/>
      <c r="T52" s="9"/>
      <c r="U52" s="7"/>
      <c r="V52" s="8"/>
      <c r="W52" s="7"/>
      <c r="X52" s="7"/>
      <c r="Y52" s="8"/>
      <c r="Z52" s="7"/>
      <c r="AA52" s="57"/>
      <c r="AB52" s="62" t="s">
        <v>702</v>
      </c>
      <c r="AC52" s="62" t="s">
        <v>706</v>
      </c>
    </row>
    <row r="53" spans="2:29" ht="14.25" thickTop="1" thickBot="1">
      <c r="B53" s="10" t="s">
        <v>270</v>
      </c>
      <c r="D53" s="52"/>
      <c r="E53" s="52" t="s">
        <v>659</v>
      </c>
      <c r="F53" s="7"/>
      <c r="G53" s="8"/>
      <c r="H53" s="7"/>
      <c r="I53" s="6"/>
      <c r="J53" s="7"/>
      <c r="K53" s="8"/>
      <c r="L53" s="7"/>
      <c r="M53" s="8"/>
      <c r="N53" s="7"/>
      <c r="O53" s="8"/>
      <c r="P53" s="7"/>
      <c r="Q53" s="7"/>
      <c r="R53" s="8"/>
      <c r="S53" s="7"/>
      <c r="T53" s="9"/>
      <c r="U53" s="7"/>
      <c r="V53" s="8"/>
      <c r="W53" s="7"/>
      <c r="X53" s="7"/>
      <c r="Y53" s="8"/>
      <c r="Z53" s="7"/>
      <c r="AA53" s="57"/>
      <c r="AB53" s="62" t="s">
        <v>702</v>
      </c>
      <c r="AC53" s="62" t="s">
        <v>1241</v>
      </c>
    </row>
    <row r="54" spans="2:29" ht="14.25" thickTop="1" thickBot="1">
      <c r="B54" s="10" t="s">
        <v>1237</v>
      </c>
      <c r="D54" s="52"/>
      <c r="E54" s="52" t="s">
        <v>526</v>
      </c>
      <c r="F54" s="7"/>
      <c r="G54" s="8"/>
      <c r="H54" s="7"/>
      <c r="I54" s="6"/>
      <c r="J54" s="7"/>
      <c r="K54" s="8"/>
      <c r="L54" s="7"/>
      <c r="M54" s="8"/>
      <c r="N54" s="7"/>
      <c r="O54" s="8"/>
      <c r="P54" s="7"/>
      <c r="Q54" s="7"/>
      <c r="R54" s="8"/>
      <c r="S54" s="7"/>
      <c r="T54" s="9"/>
      <c r="U54" s="7"/>
      <c r="V54" s="8"/>
      <c r="W54" s="7"/>
      <c r="X54" s="7"/>
      <c r="Y54" s="8"/>
      <c r="Z54" s="7"/>
      <c r="AA54" s="57"/>
      <c r="AB54" s="62" t="s">
        <v>702</v>
      </c>
      <c r="AC54" s="62" t="s">
        <v>1242</v>
      </c>
    </row>
    <row r="55" spans="2:29" ht="14.25" thickTop="1" thickBot="1">
      <c r="B55" s="10" t="s">
        <v>1239</v>
      </c>
      <c r="D55" s="52"/>
      <c r="E55" s="52" t="s">
        <v>528</v>
      </c>
      <c r="F55" s="7"/>
      <c r="G55" s="8"/>
      <c r="H55" s="7"/>
      <c r="I55" s="6"/>
      <c r="J55" s="7"/>
      <c r="K55" s="8"/>
      <c r="L55" s="7"/>
      <c r="M55" s="8"/>
      <c r="N55" s="7"/>
      <c r="O55" s="8"/>
      <c r="P55" s="7"/>
      <c r="Q55" s="7"/>
      <c r="R55" s="8"/>
      <c r="S55" s="7"/>
      <c r="T55" s="9"/>
      <c r="U55" s="7"/>
      <c r="V55" s="8"/>
      <c r="W55" s="7"/>
      <c r="X55" s="7"/>
      <c r="Y55" s="8"/>
      <c r="Z55" s="7"/>
      <c r="AA55" s="57"/>
      <c r="AB55" s="62" t="s">
        <v>702</v>
      </c>
      <c r="AC55" s="62" t="s">
        <v>1243</v>
      </c>
    </row>
    <row r="56" spans="2:29" ht="14.25" thickTop="1" thickBot="1">
      <c r="B56" s="10" t="s">
        <v>235</v>
      </c>
      <c r="D56" s="52"/>
      <c r="E56" s="52" t="s">
        <v>602</v>
      </c>
      <c r="F56" s="7"/>
      <c r="G56" s="8"/>
      <c r="H56" s="7"/>
      <c r="I56" s="6"/>
      <c r="J56" s="7"/>
      <c r="K56" s="8"/>
      <c r="L56" s="7"/>
      <c r="M56" s="8"/>
      <c r="N56" s="7"/>
      <c r="O56" s="8"/>
      <c r="P56" s="7"/>
      <c r="Q56" s="7"/>
      <c r="R56" s="8"/>
      <c r="S56" s="7"/>
      <c r="T56" s="9"/>
      <c r="U56" s="7"/>
      <c r="V56" s="8"/>
      <c r="W56" s="7"/>
      <c r="X56" s="7"/>
      <c r="Y56" s="8"/>
      <c r="Z56" s="7"/>
      <c r="AA56" s="57"/>
      <c r="AB56" s="62" t="s">
        <v>702</v>
      </c>
      <c r="AC56" s="62" t="s">
        <v>1244</v>
      </c>
    </row>
    <row r="57" spans="2:29" ht="14.25" thickTop="1" thickBot="1">
      <c r="B57" s="534" t="s">
        <v>2889</v>
      </c>
      <c r="D57" s="52"/>
      <c r="E57" s="52" t="s">
        <v>604</v>
      </c>
      <c r="F57" s="7"/>
      <c r="G57" s="8"/>
      <c r="H57" s="7"/>
      <c r="I57" s="6"/>
      <c r="J57" s="7"/>
      <c r="K57" s="8"/>
      <c r="L57" s="7"/>
      <c r="M57" s="8"/>
      <c r="N57" s="7"/>
      <c r="O57" s="8"/>
      <c r="P57" s="7"/>
      <c r="Q57" s="7"/>
      <c r="R57" s="8"/>
      <c r="S57" s="7"/>
      <c r="T57" s="9"/>
      <c r="U57" s="7"/>
      <c r="V57" s="8"/>
      <c r="W57" s="7"/>
      <c r="X57" s="7"/>
      <c r="Y57" s="8"/>
      <c r="Z57" s="7"/>
      <c r="AA57" s="57"/>
      <c r="AB57" s="62" t="s">
        <v>702</v>
      </c>
      <c r="AC57" s="62" t="s">
        <v>1245</v>
      </c>
    </row>
    <row r="58" spans="2:29" ht="14.25" thickTop="1" thickBot="1">
      <c r="B58" s="10" t="s">
        <v>285</v>
      </c>
      <c r="D58" s="52"/>
      <c r="E58" s="52" t="s">
        <v>557</v>
      </c>
      <c r="F58" s="7"/>
      <c r="G58" s="8"/>
      <c r="H58" s="7"/>
      <c r="I58" s="6"/>
      <c r="J58" s="7"/>
      <c r="K58" s="8"/>
      <c r="L58" s="7"/>
      <c r="M58" s="8"/>
      <c r="N58" s="7"/>
      <c r="O58" s="8"/>
      <c r="P58" s="7"/>
      <c r="Q58" s="7"/>
      <c r="R58" s="8"/>
      <c r="S58" s="7"/>
      <c r="T58" s="9"/>
      <c r="U58" s="7"/>
      <c r="V58" s="8"/>
      <c r="W58" s="7"/>
      <c r="X58" s="7"/>
      <c r="Y58" s="8"/>
      <c r="Z58" s="7"/>
      <c r="AA58" s="57"/>
      <c r="AB58" s="62" t="s">
        <v>702</v>
      </c>
      <c r="AC58" s="62" t="s">
        <v>1246</v>
      </c>
    </row>
    <row r="59" spans="2:29" ht="14.25" thickTop="1" thickBot="1">
      <c r="B59" s="487" t="s">
        <v>2750</v>
      </c>
      <c r="D59" s="52"/>
      <c r="E59" s="52" t="s">
        <v>587</v>
      </c>
      <c r="F59" s="7"/>
      <c r="G59" s="8"/>
      <c r="H59" s="7"/>
      <c r="I59" s="6"/>
      <c r="J59" s="7"/>
      <c r="K59" s="8"/>
      <c r="L59" s="7"/>
      <c r="M59" s="8"/>
      <c r="N59" s="7"/>
      <c r="O59" s="8"/>
      <c r="P59" s="7"/>
      <c r="Q59" s="7"/>
      <c r="R59" s="8"/>
      <c r="S59" s="7"/>
      <c r="T59" s="9"/>
      <c r="U59" s="7"/>
      <c r="V59" s="8"/>
      <c r="W59" s="7"/>
      <c r="X59" s="7"/>
      <c r="Y59" s="8"/>
      <c r="Z59" s="7"/>
      <c r="AA59" s="57"/>
      <c r="AB59" s="62" t="s">
        <v>702</v>
      </c>
      <c r="AC59" s="62" t="s">
        <v>1247</v>
      </c>
    </row>
    <row r="60" spans="2:29" ht="14.25" thickTop="1" thickBot="1">
      <c r="B60" s="18" t="s">
        <v>1894</v>
      </c>
      <c r="D60" s="52"/>
      <c r="E60" s="52" t="s">
        <v>546</v>
      </c>
      <c r="F60" s="7"/>
      <c r="G60" s="8"/>
      <c r="H60" s="7"/>
      <c r="I60" s="6"/>
      <c r="J60" s="7"/>
      <c r="K60" s="8"/>
      <c r="L60" s="7"/>
      <c r="M60" s="8"/>
      <c r="N60" s="7"/>
      <c r="O60" s="8"/>
      <c r="P60" s="7"/>
      <c r="Q60" s="7"/>
      <c r="R60" s="8"/>
      <c r="S60" s="7"/>
      <c r="T60" s="9"/>
      <c r="U60" s="7"/>
      <c r="V60" s="8"/>
      <c r="W60" s="7"/>
      <c r="X60" s="7"/>
      <c r="Y60" s="8"/>
      <c r="Z60" s="7"/>
      <c r="AA60" s="57"/>
      <c r="AB60" s="62" t="s">
        <v>702</v>
      </c>
      <c r="AC60" s="62" t="s">
        <v>1248</v>
      </c>
    </row>
    <row r="61" spans="2:29" ht="14.25" thickTop="1" thickBot="1">
      <c r="B61" s="10"/>
      <c r="D61" s="52"/>
      <c r="E61" s="52" t="s">
        <v>947</v>
      </c>
      <c r="F61" s="7"/>
      <c r="G61" s="8"/>
      <c r="H61" s="7"/>
      <c r="I61" s="6"/>
      <c r="J61" s="7"/>
      <c r="K61" s="8"/>
      <c r="L61" s="7"/>
      <c r="M61" s="8"/>
      <c r="N61" s="7"/>
      <c r="O61" s="8"/>
      <c r="P61" s="7"/>
      <c r="Q61" s="7"/>
      <c r="R61" s="8"/>
      <c r="S61" s="7"/>
      <c r="T61" s="9"/>
      <c r="U61" s="7"/>
      <c r="V61" s="8"/>
      <c r="W61" s="7"/>
      <c r="X61" s="7"/>
      <c r="Y61" s="8"/>
      <c r="Z61" s="7"/>
      <c r="AA61" s="57"/>
      <c r="AB61" s="62" t="s">
        <v>702</v>
      </c>
      <c r="AC61" s="62" t="s">
        <v>1249</v>
      </c>
    </row>
    <row r="62" spans="2:29" ht="14.25" thickTop="1" thickBot="1">
      <c r="B62" s="10"/>
      <c r="D62" s="52"/>
      <c r="E62" s="52" t="s">
        <v>581</v>
      </c>
      <c r="F62" s="7"/>
      <c r="G62" s="8"/>
      <c r="H62" s="7"/>
      <c r="I62" s="6"/>
      <c r="J62" s="7"/>
      <c r="K62" s="8"/>
      <c r="L62" s="7"/>
      <c r="M62" s="8"/>
      <c r="N62" s="7"/>
      <c r="O62" s="8"/>
      <c r="P62" s="7"/>
      <c r="Q62" s="7"/>
      <c r="R62" s="8"/>
      <c r="S62" s="7"/>
      <c r="T62" s="9"/>
      <c r="U62" s="7"/>
      <c r="V62" s="8"/>
      <c r="W62" s="7"/>
      <c r="X62" s="7"/>
      <c r="Y62" s="8"/>
      <c r="Z62" s="7"/>
      <c r="AA62" s="57"/>
      <c r="AB62" s="62" t="s">
        <v>702</v>
      </c>
      <c r="AC62" s="62" t="s">
        <v>709</v>
      </c>
    </row>
    <row r="63" spans="2:29" ht="14.25" thickTop="1" thickBot="1">
      <c r="B63" s="10"/>
      <c r="D63" s="52"/>
      <c r="E63" s="52" t="s">
        <v>580</v>
      </c>
      <c r="F63" s="7"/>
      <c r="G63" s="8"/>
      <c r="H63" s="7"/>
      <c r="I63" s="6"/>
      <c r="J63" s="7"/>
      <c r="K63" s="8"/>
      <c r="L63" s="7"/>
      <c r="M63" s="8"/>
      <c r="N63" s="7"/>
      <c r="O63" s="8"/>
      <c r="P63" s="7"/>
      <c r="Q63" s="7"/>
      <c r="R63" s="8"/>
      <c r="S63" s="7"/>
      <c r="T63" s="9"/>
      <c r="U63" s="7"/>
      <c r="V63" s="8"/>
      <c r="W63" s="7"/>
      <c r="X63" s="7"/>
      <c r="Y63" s="8"/>
      <c r="Z63" s="7"/>
      <c r="AA63" s="57"/>
      <c r="AB63" s="62" t="s">
        <v>702</v>
      </c>
      <c r="AC63" s="62" t="s">
        <v>1250</v>
      </c>
    </row>
    <row r="64" spans="2:29" ht="14.25" thickTop="1" thickBot="1">
      <c r="B64" s="10"/>
      <c r="D64" s="52"/>
      <c r="E64" s="52" t="s">
        <v>529</v>
      </c>
      <c r="F64" s="7"/>
      <c r="G64" s="8"/>
      <c r="H64" s="7"/>
      <c r="I64" s="6"/>
      <c r="J64" s="7"/>
      <c r="K64" s="8"/>
      <c r="L64" s="7"/>
      <c r="M64" s="8"/>
      <c r="N64" s="7"/>
      <c r="O64" s="8"/>
      <c r="P64" s="7"/>
      <c r="Q64" s="7"/>
      <c r="R64" s="8"/>
      <c r="S64" s="7"/>
      <c r="T64" s="9"/>
      <c r="U64" s="7"/>
      <c r="V64" s="8"/>
      <c r="W64" s="7"/>
      <c r="X64" s="7"/>
      <c r="Y64" s="8"/>
      <c r="Z64" s="7"/>
      <c r="AA64" s="57"/>
      <c r="AB64" s="62" t="s">
        <v>702</v>
      </c>
      <c r="AC64" s="62" t="s">
        <v>1251</v>
      </c>
    </row>
    <row r="65" spans="2:29" ht="14.25" thickTop="1" thickBot="1">
      <c r="B65" s="10"/>
      <c r="D65" s="52"/>
      <c r="E65" s="52" t="s">
        <v>534</v>
      </c>
      <c r="F65" s="7"/>
      <c r="G65" s="8"/>
      <c r="H65" s="7"/>
      <c r="I65" s="6"/>
      <c r="J65" s="7"/>
      <c r="K65" s="8"/>
      <c r="L65" s="7"/>
      <c r="M65" s="8"/>
      <c r="N65" s="7"/>
      <c r="O65" s="8"/>
      <c r="P65" s="7"/>
      <c r="Q65" s="7"/>
      <c r="R65" s="8"/>
      <c r="S65" s="7"/>
      <c r="T65" s="9"/>
      <c r="U65" s="7"/>
      <c r="V65" s="8"/>
      <c r="W65" s="7"/>
      <c r="X65" s="7"/>
      <c r="Y65" s="8"/>
      <c r="Z65" s="7"/>
      <c r="AA65" s="57"/>
      <c r="AB65" s="62" t="s">
        <v>702</v>
      </c>
      <c r="AC65" s="62" t="s">
        <v>1252</v>
      </c>
    </row>
    <row r="66" spans="2:29" ht="14.25" thickTop="1" thickBot="1">
      <c r="B66" s="10"/>
      <c r="D66" s="52"/>
      <c r="E66" s="52" t="s">
        <v>592</v>
      </c>
      <c r="F66" s="7"/>
      <c r="G66" s="8"/>
      <c r="H66" s="7"/>
      <c r="I66" s="6"/>
      <c r="J66" s="7"/>
      <c r="K66" s="8"/>
      <c r="L66" s="7"/>
      <c r="M66" s="8"/>
      <c r="N66" s="7"/>
      <c r="O66" s="8"/>
      <c r="P66" s="7"/>
      <c r="Q66" s="7"/>
      <c r="R66" s="8"/>
      <c r="S66" s="7"/>
      <c r="T66" s="9"/>
      <c r="U66" s="7"/>
      <c r="V66" s="8"/>
      <c r="W66" s="7"/>
      <c r="X66" s="7"/>
      <c r="Y66" s="8"/>
      <c r="Z66" s="7"/>
      <c r="AA66" s="57"/>
      <c r="AB66" s="62" t="s">
        <v>702</v>
      </c>
      <c r="AC66" s="62" t="s">
        <v>1253</v>
      </c>
    </row>
    <row r="67" spans="2:29" ht="14.25" thickTop="1" thickBot="1">
      <c r="B67" s="10"/>
      <c r="D67" s="52"/>
      <c r="E67" s="52" t="s">
        <v>354</v>
      </c>
      <c r="F67" s="7"/>
      <c r="G67" s="8"/>
      <c r="H67" s="7"/>
      <c r="I67" s="6"/>
      <c r="J67" s="7"/>
      <c r="K67" s="8"/>
      <c r="L67" s="7"/>
      <c r="M67" s="8"/>
      <c r="N67" s="7"/>
      <c r="O67" s="8"/>
      <c r="P67" s="7"/>
      <c r="Q67" s="7"/>
      <c r="R67" s="8"/>
      <c r="S67" s="7"/>
      <c r="T67" s="9"/>
      <c r="U67" s="7"/>
      <c r="V67" s="8"/>
      <c r="W67" s="7"/>
      <c r="X67" s="7"/>
      <c r="Y67" s="8"/>
      <c r="Z67" s="7"/>
      <c r="AA67" s="57"/>
      <c r="AB67" s="62" t="s">
        <v>702</v>
      </c>
      <c r="AC67" s="62" t="s">
        <v>712</v>
      </c>
    </row>
    <row r="68" spans="2:29" ht="14.25" thickTop="1" thickBot="1">
      <c r="B68" s="10"/>
      <c r="D68" s="52"/>
      <c r="E68" s="52" t="s">
        <v>574</v>
      </c>
      <c r="F68" s="7"/>
      <c r="G68" s="8"/>
      <c r="H68" s="7"/>
      <c r="I68" s="6"/>
      <c r="J68" s="7"/>
      <c r="K68" s="8"/>
      <c r="L68" s="7"/>
      <c r="M68" s="8"/>
      <c r="N68" s="7"/>
      <c r="O68" s="8"/>
      <c r="P68" s="7"/>
      <c r="Q68" s="7"/>
      <c r="R68" s="8"/>
      <c r="S68" s="7"/>
      <c r="T68" s="9"/>
      <c r="U68" s="7"/>
      <c r="V68" s="8"/>
      <c r="W68" s="7"/>
      <c r="X68" s="7"/>
      <c r="Y68" s="8"/>
      <c r="Z68" s="7"/>
      <c r="AA68" s="57"/>
      <c r="AB68" s="62" t="s">
        <v>702</v>
      </c>
      <c r="AC68" s="62" t="s">
        <v>1254</v>
      </c>
    </row>
    <row r="69" spans="2:29" ht="14.25" thickTop="1" thickBot="1">
      <c r="B69" s="10"/>
      <c r="D69" s="66"/>
      <c r="E69" s="52" t="s">
        <v>643</v>
      </c>
      <c r="F69" s="7"/>
      <c r="G69" s="8"/>
      <c r="H69" s="7"/>
      <c r="I69" s="6"/>
      <c r="J69" s="7"/>
      <c r="K69" s="8"/>
      <c r="L69" s="7"/>
      <c r="M69" s="8"/>
      <c r="N69" s="7"/>
      <c r="O69" s="8"/>
      <c r="P69" s="7"/>
      <c r="Q69" s="7"/>
      <c r="R69" s="8"/>
      <c r="S69" s="7"/>
      <c r="T69" s="9"/>
      <c r="U69" s="7"/>
      <c r="V69" s="8"/>
      <c r="W69" s="7"/>
      <c r="X69" s="7"/>
      <c r="Y69" s="8"/>
      <c r="Z69" s="7"/>
      <c r="AA69" s="57"/>
      <c r="AB69" s="62" t="s">
        <v>702</v>
      </c>
      <c r="AC69" s="62" t="s">
        <v>703</v>
      </c>
    </row>
    <row r="70" spans="2:29" ht="14.25" thickTop="1" thickBot="1">
      <c r="B70" s="10"/>
      <c r="D70" s="66"/>
      <c r="E70" s="52" t="s">
        <v>921</v>
      </c>
      <c r="F70" s="7"/>
      <c r="G70" s="8"/>
      <c r="H70" s="7"/>
      <c r="I70" s="6"/>
      <c r="J70" s="7"/>
      <c r="K70" s="8"/>
      <c r="L70" s="7"/>
      <c r="M70" s="8"/>
      <c r="N70" s="7"/>
      <c r="O70" s="8"/>
      <c r="P70" s="7"/>
      <c r="Q70" s="7"/>
      <c r="R70" s="8"/>
      <c r="S70" s="7"/>
      <c r="T70" s="9"/>
      <c r="U70" s="7"/>
      <c r="V70" s="8"/>
      <c r="W70" s="7"/>
      <c r="X70" s="7"/>
      <c r="Y70" s="8"/>
      <c r="Z70" s="7"/>
      <c r="AA70" s="57"/>
      <c r="AB70" s="62" t="s">
        <v>702</v>
      </c>
      <c r="AC70" s="62" t="s">
        <v>1255</v>
      </c>
    </row>
    <row r="71" spans="2:29" ht="14.25" thickTop="1" thickBot="1">
      <c r="B71" s="10"/>
      <c r="D71" s="66"/>
      <c r="E71" s="52" t="s">
        <v>671</v>
      </c>
      <c r="F71" s="7"/>
      <c r="G71" s="8"/>
      <c r="H71" s="7"/>
      <c r="I71" s="6"/>
      <c r="J71" s="7"/>
      <c r="K71" s="8"/>
      <c r="L71" s="7"/>
      <c r="M71" s="8"/>
      <c r="N71" s="7"/>
      <c r="O71" s="8"/>
      <c r="P71" s="7"/>
      <c r="Q71" s="7"/>
      <c r="R71" s="8"/>
      <c r="S71" s="7"/>
      <c r="T71" s="9"/>
      <c r="U71" s="7"/>
      <c r="V71" s="8"/>
      <c r="W71" s="7"/>
      <c r="X71" s="7"/>
      <c r="Y71" s="8"/>
      <c r="Z71" s="7"/>
      <c r="AA71" s="57"/>
      <c r="AB71" s="62" t="s">
        <v>702</v>
      </c>
      <c r="AC71" s="62" t="s">
        <v>723</v>
      </c>
    </row>
    <row r="72" spans="2:29" ht="14.25" thickTop="1" thickBot="1">
      <c r="B72" s="10"/>
      <c r="D72" s="66"/>
      <c r="E72" s="52" t="s">
        <v>579</v>
      </c>
      <c r="F72" s="7"/>
      <c r="G72" s="8"/>
      <c r="H72" s="7"/>
      <c r="I72" s="6"/>
      <c r="J72" s="7"/>
      <c r="K72" s="8"/>
      <c r="L72" s="7"/>
      <c r="M72" s="8"/>
      <c r="N72" s="7"/>
      <c r="O72" s="8"/>
      <c r="P72" s="7"/>
      <c r="Q72" s="7"/>
      <c r="R72" s="8"/>
      <c r="S72" s="7"/>
      <c r="T72" s="9"/>
      <c r="U72" s="7"/>
      <c r="V72" s="8"/>
      <c r="W72" s="7"/>
      <c r="X72" s="7"/>
      <c r="Y72" s="8"/>
      <c r="Z72" s="7"/>
      <c r="AA72" s="57"/>
      <c r="AB72" s="62" t="s">
        <v>702</v>
      </c>
      <c r="AC72" s="62" t="s">
        <v>1256</v>
      </c>
    </row>
    <row r="73" spans="2:29" ht="14.25" thickTop="1" thickBot="1">
      <c r="B73" s="10"/>
      <c r="D73" s="66"/>
      <c r="E73" s="52" t="s">
        <v>364</v>
      </c>
      <c r="F73" s="7"/>
      <c r="G73" s="8"/>
      <c r="H73" s="7"/>
      <c r="I73" s="6"/>
      <c r="J73" s="7"/>
      <c r="K73" s="8"/>
      <c r="L73" s="7"/>
      <c r="M73" s="8"/>
      <c r="N73" s="7"/>
      <c r="O73" s="8"/>
      <c r="P73" s="7"/>
      <c r="Q73" s="7"/>
      <c r="R73" s="8"/>
      <c r="S73" s="7"/>
      <c r="T73" s="9"/>
      <c r="U73" s="7"/>
      <c r="V73" s="8"/>
      <c r="W73" s="7"/>
      <c r="X73" s="7"/>
      <c r="Y73" s="8"/>
      <c r="Z73" s="7"/>
      <c r="AA73" s="57"/>
      <c r="AB73" s="62" t="s">
        <v>702</v>
      </c>
      <c r="AC73" s="62" t="s">
        <v>1257</v>
      </c>
    </row>
    <row r="74" spans="2:29" ht="14.25" thickTop="1" thickBot="1">
      <c r="B74" s="10"/>
      <c r="D74" s="66"/>
      <c r="E74" s="52" t="s">
        <v>366</v>
      </c>
      <c r="F74" s="7"/>
      <c r="G74" s="8"/>
      <c r="H74" s="7"/>
      <c r="I74" s="6"/>
      <c r="J74" s="7"/>
      <c r="K74" s="8"/>
      <c r="L74" s="7"/>
      <c r="M74" s="8"/>
      <c r="N74" s="7"/>
      <c r="O74" s="8"/>
      <c r="P74" s="7"/>
      <c r="Q74" s="7"/>
      <c r="R74" s="8"/>
      <c r="S74" s="7"/>
      <c r="T74" s="9"/>
      <c r="U74" s="7"/>
      <c r="V74" s="8"/>
      <c r="W74" s="7"/>
      <c r="X74" s="7"/>
      <c r="Y74" s="8"/>
      <c r="Z74" s="7"/>
      <c r="AA74" s="57"/>
      <c r="AB74" s="62" t="s">
        <v>702</v>
      </c>
      <c r="AC74" s="62" t="s">
        <v>1258</v>
      </c>
    </row>
    <row r="75" spans="2:29" ht="14.25" thickTop="1" thickBot="1">
      <c r="B75" s="10"/>
      <c r="D75" s="66"/>
      <c r="E75" s="52" t="s">
        <v>371</v>
      </c>
      <c r="F75" s="7"/>
      <c r="G75" s="8"/>
      <c r="H75" s="7"/>
      <c r="I75" s="6"/>
      <c r="J75" s="7"/>
      <c r="K75" s="8"/>
      <c r="L75" s="7"/>
      <c r="M75" s="8"/>
      <c r="N75" s="7"/>
      <c r="O75" s="8"/>
      <c r="P75" s="7"/>
      <c r="Q75" s="7"/>
      <c r="R75" s="8"/>
      <c r="S75" s="7"/>
      <c r="T75" s="9"/>
      <c r="U75" s="7"/>
      <c r="V75" s="8"/>
      <c r="W75" s="7"/>
      <c r="X75" s="7"/>
      <c r="Y75" s="8"/>
      <c r="Z75" s="7"/>
      <c r="AA75" s="57"/>
      <c r="AB75" s="62" t="s">
        <v>702</v>
      </c>
      <c r="AC75" s="62" t="s">
        <v>1259</v>
      </c>
    </row>
    <row r="76" spans="2:29" ht="14.25" thickTop="1" thickBot="1">
      <c r="B76" s="10"/>
      <c r="D76" s="66"/>
      <c r="E76" s="52" t="s">
        <v>363</v>
      </c>
      <c r="F76" s="7"/>
      <c r="G76" s="8"/>
      <c r="H76" s="7"/>
      <c r="I76" s="6"/>
      <c r="J76" s="7"/>
      <c r="K76" s="8"/>
      <c r="L76" s="7"/>
      <c r="M76" s="8"/>
      <c r="N76" s="7"/>
      <c r="O76" s="8"/>
      <c r="P76" s="7"/>
      <c r="Q76" s="7"/>
      <c r="R76" s="8"/>
      <c r="S76" s="7"/>
      <c r="T76" s="9"/>
      <c r="U76" s="7"/>
      <c r="V76" s="8"/>
      <c r="W76" s="7"/>
      <c r="X76" s="7"/>
      <c r="Y76" s="8"/>
      <c r="Z76" s="7"/>
      <c r="AA76" s="57"/>
      <c r="AB76" s="62" t="s">
        <v>702</v>
      </c>
      <c r="AC76" s="62" t="s">
        <v>1260</v>
      </c>
    </row>
    <row r="77" spans="2:29" ht="14.25" thickTop="1" thickBot="1">
      <c r="B77" s="10"/>
      <c r="D77" s="66"/>
      <c r="E77" s="52" t="s">
        <v>801</v>
      </c>
      <c r="F77" s="7"/>
      <c r="G77" s="8"/>
      <c r="H77" s="7"/>
      <c r="I77" s="6"/>
      <c r="J77" s="7"/>
      <c r="K77" s="8"/>
      <c r="L77" s="7"/>
      <c r="M77" s="8"/>
      <c r="N77" s="7"/>
      <c r="O77" s="8"/>
      <c r="P77" s="7"/>
      <c r="Q77" s="7"/>
      <c r="R77" s="8"/>
      <c r="S77" s="7"/>
      <c r="T77" s="9"/>
      <c r="U77" s="7"/>
      <c r="V77" s="8"/>
      <c r="W77" s="7"/>
      <c r="X77" s="7"/>
      <c r="Y77" s="8"/>
      <c r="Z77" s="7"/>
      <c r="AA77" s="57"/>
      <c r="AB77" s="62" t="s">
        <v>702</v>
      </c>
      <c r="AC77" s="62" t="s">
        <v>1261</v>
      </c>
    </row>
    <row r="78" spans="2:29" ht="14.25" thickTop="1" thickBot="1">
      <c r="B78" s="10"/>
      <c r="D78" s="66"/>
      <c r="E78" s="52" t="s">
        <v>800</v>
      </c>
      <c r="F78" s="7"/>
      <c r="G78" s="8"/>
      <c r="H78" s="7"/>
      <c r="I78" s="6"/>
      <c r="J78" s="7"/>
      <c r="K78" s="8"/>
      <c r="L78" s="7"/>
      <c r="M78" s="8"/>
      <c r="N78" s="7"/>
      <c r="O78" s="8"/>
      <c r="P78" s="7"/>
      <c r="Q78" s="7"/>
      <c r="R78" s="8"/>
      <c r="S78" s="7"/>
      <c r="T78" s="9"/>
      <c r="U78" s="7"/>
      <c r="V78" s="8"/>
      <c r="W78" s="7"/>
      <c r="X78" s="7"/>
      <c r="Y78" s="8"/>
      <c r="Z78" s="7"/>
      <c r="AA78" s="57"/>
      <c r="AB78" s="62" t="s">
        <v>702</v>
      </c>
      <c r="AC78" s="62" t="s">
        <v>1262</v>
      </c>
    </row>
    <row r="79" spans="2:29" ht="14.25" thickTop="1" thickBot="1">
      <c r="B79" s="10"/>
      <c r="D79" s="66"/>
      <c r="E79" s="52" t="s">
        <v>368</v>
      </c>
      <c r="F79" s="7"/>
      <c r="G79" s="8"/>
      <c r="H79" s="7"/>
      <c r="I79" s="6"/>
      <c r="J79" s="7"/>
      <c r="K79" s="8"/>
      <c r="L79" s="7"/>
      <c r="M79" s="8"/>
      <c r="N79" s="7"/>
      <c r="O79" s="8"/>
      <c r="P79" s="7"/>
      <c r="Q79" s="7"/>
      <c r="R79" s="8"/>
      <c r="S79" s="7"/>
      <c r="T79" s="9"/>
      <c r="U79" s="7"/>
      <c r="V79" s="8"/>
      <c r="W79" s="7"/>
      <c r="X79" s="7"/>
      <c r="Y79" s="8"/>
      <c r="Z79" s="7"/>
      <c r="AA79" s="57"/>
      <c r="AB79" s="62" t="s">
        <v>702</v>
      </c>
      <c r="AC79" s="62" t="s">
        <v>1263</v>
      </c>
    </row>
    <row r="80" spans="2:29" ht="14.25" thickTop="1" thickBot="1">
      <c r="B80" s="10"/>
      <c r="D80" s="66"/>
      <c r="E80" s="52" t="s">
        <v>365</v>
      </c>
      <c r="F80" s="7"/>
      <c r="G80" s="8"/>
      <c r="H80" s="7"/>
      <c r="I80" s="6"/>
      <c r="J80" s="7"/>
      <c r="K80" s="8"/>
      <c r="L80" s="7"/>
      <c r="M80" s="8"/>
      <c r="N80" s="7"/>
      <c r="O80" s="8"/>
      <c r="P80" s="7"/>
      <c r="Q80" s="7"/>
      <c r="R80" s="8"/>
      <c r="S80" s="7"/>
      <c r="T80" s="9"/>
      <c r="U80" s="7"/>
      <c r="V80" s="8"/>
      <c r="W80" s="7"/>
      <c r="X80" s="7"/>
      <c r="Y80" s="8"/>
      <c r="Z80" s="7"/>
      <c r="AA80" s="57"/>
      <c r="AB80" s="62" t="s">
        <v>702</v>
      </c>
      <c r="AC80" s="62" t="s">
        <v>1264</v>
      </c>
    </row>
    <row r="81" spans="2:29" ht="14.25" thickTop="1" thickBot="1">
      <c r="B81" s="10"/>
      <c r="D81" s="66"/>
      <c r="E81" s="52" t="s">
        <v>367</v>
      </c>
      <c r="F81" s="7"/>
      <c r="G81" s="8"/>
      <c r="H81" s="7"/>
      <c r="I81" s="6"/>
      <c r="J81" s="7"/>
      <c r="K81" s="8"/>
      <c r="L81" s="7"/>
      <c r="M81" s="8"/>
      <c r="N81" s="7"/>
      <c r="O81" s="8"/>
      <c r="P81" s="7"/>
      <c r="Q81" s="7"/>
      <c r="R81" s="8"/>
      <c r="S81" s="7"/>
      <c r="T81" s="9"/>
      <c r="U81" s="7"/>
      <c r="V81" s="8"/>
      <c r="W81" s="7"/>
      <c r="X81" s="7"/>
      <c r="Y81" s="8"/>
      <c r="Z81" s="7"/>
      <c r="AA81" s="57"/>
      <c r="AB81" s="62" t="s">
        <v>702</v>
      </c>
      <c r="AC81" s="62" t="s">
        <v>1265</v>
      </c>
    </row>
    <row r="82" spans="2:29" ht="14.25" thickTop="1" thickBot="1">
      <c r="B82" s="10"/>
      <c r="D82" s="66"/>
      <c r="E82" s="52" t="s">
        <v>369</v>
      </c>
      <c r="F82" s="7"/>
      <c r="G82" s="8"/>
      <c r="H82" s="7"/>
      <c r="I82" s="6"/>
      <c r="J82" s="7"/>
      <c r="K82" s="8"/>
      <c r="L82" s="7"/>
      <c r="M82" s="8"/>
      <c r="N82" s="7"/>
      <c r="O82" s="8"/>
      <c r="P82" s="7"/>
      <c r="Q82" s="7"/>
      <c r="R82" s="8"/>
      <c r="S82" s="7"/>
      <c r="T82" s="9"/>
      <c r="U82" s="7"/>
      <c r="V82" s="8"/>
      <c r="W82" s="7"/>
      <c r="X82" s="7"/>
      <c r="Y82" s="8"/>
      <c r="Z82" s="7"/>
      <c r="AA82" s="57"/>
      <c r="AB82" s="62" t="s">
        <v>702</v>
      </c>
      <c r="AC82" s="62" t="s">
        <v>1266</v>
      </c>
    </row>
    <row r="83" spans="2:29" ht="14.25" thickTop="1" thickBot="1">
      <c r="B83" s="10"/>
      <c r="D83" s="66"/>
      <c r="E83" s="52" t="s">
        <v>362</v>
      </c>
      <c r="F83" s="7"/>
      <c r="G83" s="8"/>
      <c r="H83" s="7"/>
      <c r="I83" s="6"/>
      <c r="J83" s="7"/>
      <c r="K83" s="8"/>
      <c r="L83" s="7"/>
      <c r="M83" s="8"/>
      <c r="N83" s="7"/>
      <c r="O83" s="8"/>
      <c r="P83" s="7"/>
      <c r="Q83" s="7"/>
      <c r="R83" s="8"/>
      <c r="S83" s="7"/>
      <c r="T83" s="9"/>
      <c r="U83" s="7"/>
      <c r="V83" s="8"/>
      <c r="W83" s="7"/>
      <c r="X83" s="7"/>
      <c r="Y83" s="8"/>
      <c r="Z83" s="7"/>
      <c r="AA83" s="57"/>
      <c r="AB83" s="64" t="s">
        <v>702</v>
      </c>
      <c r="AC83" s="64" t="s">
        <v>1267</v>
      </c>
    </row>
    <row r="84" spans="2:29" ht="14.25" thickTop="1" thickBot="1">
      <c r="B84" s="10"/>
      <c r="D84" s="66"/>
      <c r="E84" s="52" t="s">
        <v>949</v>
      </c>
      <c r="F84" s="7"/>
      <c r="G84" s="8"/>
      <c r="H84" s="7"/>
      <c r="I84" s="6"/>
      <c r="J84" s="7"/>
      <c r="K84" s="8"/>
      <c r="L84" s="7"/>
      <c r="M84" s="8"/>
      <c r="N84" s="7"/>
      <c r="O84" s="8"/>
      <c r="P84" s="7"/>
      <c r="Q84" s="7"/>
      <c r="R84" s="8"/>
      <c r="S84" s="7"/>
      <c r="T84" s="9"/>
      <c r="U84" s="7"/>
      <c r="V84" s="8"/>
      <c r="W84" s="7"/>
      <c r="X84" s="7"/>
      <c r="Y84" s="8"/>
      <c r="Z84" s="7"/>
      <c r="AA84" s="8"/>
    </row>
    <row r="85" spans="2:29" ht="14.25" thickTop="1" thickBot="1">
      <c r="B85" s="10"/>
      <c r="D85" s="66"/>
      <c r="E85" s="52" t="s">
        <v>948</v>
      </c>
      <c r="F85" s="7"/>
      <c r="G85" s="8"/>
      <c r="H85" s="7"/>
      <c r="I85" s="6"/>
      <c r="J85" s="7"/>
      <c r="K85" s="8"/>
      <c r="L85" s="7"/>
      <c r="M85" s="8"/>
      <c r="N85" s="7"/>
      <c r="O85" s="8"/>
      <c r="P85" s="7"/>
      <c r="Q85" s="7"/>
      <c r="R85" s="8"/>
      <c r="S85" s="7"/>
      <c r="T85" s="9"/>
      <c r="U85" s="7"/>
      <c r="V85" s="8"/>
      <c r="W85" s="7"/>
      <c r="X85" s="7"/>
      <c r="Y85" s="8"/>
      <c r="Z85" s="7"/>
      <c r="AA85" s="8"/>
    </row>
    <row r="86" spans="2:29" ht="14.25" thickTop="1" thickBot="1">
      <c r="B86" s="10"/>
      <c r="D86" s="66"/>
      <c r="E86" s="52" t="s">
        <v>570</v>
      </c>
      <c r="F86" s="7"/>
      <c r="G86" s="8"/>
      <c r="H86" s="7"/>
      <c r="I86" s="6"/>
      <c r="J86" s="7"/>
      <c r="K86" s="8"/>
      <c r="L86" s="7"/>
      <c r="M86" s="8"/>
      <c r="N86" s="7"/>
      <c r="O86" s="8"/>
      <c r="P86" s="7"/>
      <c r="Q86" s="7"/>
      <c r="R86" s="8"/>
      <c r="S86" s="7"/>
      <c r="T86" s="9"/>
      <c r="U86" s="7"/>
      <c r="V86" s="8"/>
      <c r="W86" s="7"/>
      <c r="X86" s="7"/>
      <c r="Y86" s="8"/>
      <c r="Z86" s="7"/>
      <c r="AA86" s="8"/>
    </row>
    <row r="87" spans="2:29" ht="14.25" thickTop="1" thickBot="1">
      <c r="B87" s="10"/>
      <c r="D87" s="66"/>
      <c r="E87" s="52" t="s">
        <v>556</v>
      </c>
      <c r="F87" s="7"/>
      <c r="G87" s="8"/>
      <c r="H87" s="7"/>
      <c r="I87" s="6"/>
      <c r="J87" s="7"/>
      <c r="K87" s="8"/>
      <c r="L87" s="7"/>
      <c r="M87" s="8"/>
      <c r="N87" s="7"/>
      <c r="O87" s="8"/>
      <c r="P87" s="7"/>
      <c r="Q87" s="7"/>
      <c r="R87" s="8"/>
      <c r="S87" s="7"/>
      <c r="T87" s="9"/>
      <c r="U87" s="7"/>
      <c r="V87" s="8"/>
      <c r="W87" s="7"/>
      <c r="X87" s="7"/>
      <c r="Y87" s="8"/>
      <c r="Z87" s="7"/>
      <c r="AA87" s="8"/>
    </row>
    <row r="88" spans="2:29" ht="14.25" thickTop="1" thickBot="1">
      <c r="B88" s="10"/>
      <c r="D88" s="66"/>
      <c r="E88" s="52" t="s">
        <v>560</v>
      </c>
      <c r="F88" s="7"/>
      <c r="G88" s="8"/>
      <c r="H88" s="7"/>
      <c r="I88" s="6"/>
      <c r="J88" s="7"/>
      <c r="K88" s="8"/>
      <c r="L88" s="7"/>
      <c r="M88" s="8"/>
      <c r="N88" s="7"/>
      <c r="O88" s="8"/>
      <c r="P88" s="7"/>
      <c r="Q88" s="7"/>
      <c r="R88" s="8"/>
      <c r="S88" s="7"/>
      <c r="T88" s="9"/>
      <c r="U88" s="7"/>
      <c r="V88" s="8"/>
      <c r="W88" s="7"/>
      <c r="X88" s="7"/>
      <c r="Y88" s="8"/>
      <c r="Z88" s="7"/>
      <c r="AA88" s="8"/>
    </row>
    <row r="89" spans="2:29" ht="14.25" thickTop="1" thickBot="1">
      <c r="B89" s="10"/>
      <c r="D89" s="66"/>
      <c r="E89" s="52" t="s">
        <v>611</v>
      </c>
      <c r="F89" s="7"/>
      <c r="G89" s="8"/>
      <c r="H89" s="7"/>
      <c r="I89" s="6"/>
      <c r="J89" s="7"/>
      <c r="K89" s="8"/>
      <c r="L89" s="7"/>
      <c r="M89" s="8"/>
      <c r="N89" s="7"/>
      <c r="O89" s="8"/>
      <c r="P89" s="7"/>
      <c r="Q89" s="7"/>
      <c r="R89" s="8"/>
      <c r="S89" s="7"/>
      <c r="T89" s="9"/>
      <c r="U89" s="7"/>
      <c r="V89" s="8"/>
      <c r="W89" s="7"/>
      <c r="X89" s="7"/>
      <c r="Y89" s="8"/>
      <c r="Z89" s="7"/>
      <c r="AA89" s="8"/>
    </row>
    <row r="90" spans="2:29" ht="14.25" thickTop="1" thickBot="1">
      <c r="B90" s="10"/>
      <c r="D90" s="66"/>
      <c r="E90" s="52" t="s">
        <v>928</v>
      </c>
      <c r="F90" s="7"/>
      <c r="G90" s="8"/>
      <c r="H90" s="7"/>
      <c r="I90" s="6"/>
      <c r="J90" s="7"/>
      <c r="K90" s="8"/>
      <c r="L90" s="7"/>
      <c r="M90" s="8"/>
      <c r="N90" s="7"/>
      <c r="O90" s="8"/>
      <c r="P90" s="7"/>
      <c r="Q90" s="7"/>
      <c r="R90" s="8"/>
      <c r="S90" s="7"/>
      <c r="T90" s="9"/>
      <c r="U90" s="7"/>
      <c r="V90" s="8"/>
      <c r="W90" s="7"/>
      <c r="X90" s="7"/>
      <c r="Y90" s="8"/>
      <c r="Z90" s="7"/>
      <c r="AA90" s="8"/>
    </row>
    <row r="91" spans="2:29" ht="14.25" thickTop="1" thickBot="1">
      <c r="B91" s="10"/>
      <c r="D91" s="66"/>
      <c r="E91" s="52" t="s">
        <v>649</v>
      </c>
      <c r="F91" s="7"/>
      <c r="G91" s="8"/>
      <c r="H91" s="7"/>
      <c r="I91" s="6"/>
      <c r="J91" s="7"/>
      <c r="K91" s="8"/>
      <c r="L91" s="7"/>
      <c r="M91" s="8"/>
      <c r="N91" s="7"/>
      <c r="O91" s="8"/>
      <c r="P91" s="7"/>
      <c r="Q91" s="7"/>
      <c r="R91" s="8"/>
      <c r="S91" s="7"/>
      <c r="T91" s="9"/>
      <c r="U91" s="7"/>
      <c r="V91" s="8"/>
      <c r="W91" s="7"/>
      <c r="X91" s="7"/>
      <c r="Y91" s="8"/>
      <c r="Z91" s="7"/>
      <c r="AA91" s="8"/>
    </row>
    <row r="92" spans="2:29" ht="14.25" thickTop="1" thickBot="1">
      <c r="B92" s="10"/>
      <c r="D92" s="66"/>
      <c r="E92" s="52" t="s">
        <v>920</v>
      </c>
      <c r="F92" s="7"/>
      <c r="G92" s="8"/>
      <c r="H92" s="7"/>
      <c r="I92" s="6"/>
      <c r="J92" s="7"/>
      <c r="K92" s="8"/>
      <c r="L92" s="7"/>
      <c r="M92" s="8"/>
      <c r="N92" s="7"/>
      <c r="O92" s="8"/>
      <c r="P92" s="7"/>
      <c r="Q92" s="7"/>
      <c r="R92" s="8"/>
      <c r="S92" s="7"/>
      <c r="T92" s="9"/>
      <c r="U92" s="7"/>
      <c r="V92" s="8"/>
      <c r="W92" s="7"/>
      <c r="X92" s="7"/>
      <c r="Y92" s="8"/>
      <c r="Z92" s="7"/>
      <c r="AA92" s="8"/>
    </row>
    <row r="93" spans="2:29" ht="14.25" thickTop="1" thickBot="1">
      <c r="B93" s="10"/>
      <c r="D93" s="66"/>
      <c r="E93" s="52" t="s">
        <v>614</v>
      </c>
      <c r="F93" s="7"/>
      <c r="G93" s="8"/>
      <c r="H93" s="7"/>
      <c r="I93" s="6"/>
      <c r="J93" s="7"/>
      <c r="K93" s="8"/>
      <c r="L93" s="7"/>
      <c r="M93" s="8"/>
      <c r="N93" s="7"/>
      <c r="O93" s="8"/>
      <c r="P93" s="7"/>
      <c r="Q93" s="7"/>
      <c r="R93" s="8"/>
      <c r="S93" s="7"/>
      <c r="T93" s="9"/>
      <c r="U93" s="7"/>
      <c r="V93" s="8"/>
      <c r="W93" s="7"/>
      <c r="X93" s="7"/>
      <c r="Y93" s="8"/>
      <c r="Z93" s="7"/>
      <c r="AA93" s="8"/>
    </row>
    <row r="94" spans="2:29" ht="14.25" thickTop="1" thickBot="1">
      <c r="B94" s="10"/>
      <c r="D94" s="66"/>
      <c r="E94" s="52" t="s">
        <v>944</v>
      </c>
      <c r="F94" s="7"/>
      <c r="G94" s="8"/>
      <c r="H94" s="7"/>
      <c r="I94" s="6"/>
      <c r="J94" s="7"/>
      <c r="K94" s="8"/>
      <c r="L94" s="7"/>
      <c r="M94" s="8"/>
      <c r="N94" s="7"/>
      <c r="O94" s="8"/>
      <c r="P94" s="7"/>
      <c r="Q94" s="7"/>
      <c r="R94" s="8"/>
      <c r="S94" s="7"/>
      <c r="T94" s="9"/>
      <c r="U94" s="7"/>
      <c r="V94" s="8"/>
      <c r="W94" s="7"/>
      <c r="X94" s="7"/>
      <c r="Y94" s="8"/>
      <c r="Z94" s="7"/>
      <c r="AA94" s="8"/>
    </row>
    <row r="95" spans="2:29" ht="14.25" thickTop="1" thickBot="1">
      <c r="B95" s="10"/>
      <c r="D95" s="66"/>
      <c r="E95" s="52" t="s">
        <v>1134</v>
      </c>
      <c r="F95" s="7"/>
      <c r="G95" s="8"/>
      <c r="H95" s="7"/>
      <c r="I95" s="6"/>
      <c r="J95" s="7"/>
      <c r="K95" s="8"/>
      <c r="L95" s="7"/>
      <c r="M95" s="8"/>
      <c r="N95" s="7"/>
      <c r="O95" s="8"/>
      <c r="P95" s="7"/>
      <c r="Q95" s="7"/>
      <c r="R95" s="8"/>
      <c r="S95" s="7"/>
      <c r="T95" s="9"/>
      <c r="U95" s="7"/>
      <c r="V95" s="8"/>
      <c r="W95" s="7"/>
      <c r="X95" s="7"/>
      <c r="Y95" s="8"/>
      <c r="Z95" s="7"/>
      <c r="AA95" s="8"/>
    </row>
    <row r="96" spans="2:29" ht="14.25" thickTop="1" thickBot="1">
      <c r="B96" s="10"/>
      <c r="D96" s="66"/>
      <c r="E96" s="52" t="s">
        <v>597</v>
      </c>
      <c r="F96" s="7"/>
      <c r="G96" s="8"/>
      <c r="H96" s="7"/>
      <c r="I96" s="6"/>
      <c r="J96" s="7"/>
      <c r="K96" s="8"/>
      <c r="L96" s="7"/>
      <c r="M96" s="8"/>
      <c r="N96" s="7"/>
      <c r="O96" s="8"/>
      <c r="P96" s="7"/>
      <c r="Q96" s="7"/>
      <c r="R96" s="8"/>
      <c r="S96" s="7"/>
      <c r="T96" s="9"/>
      <c r="U96" s="7"/>
      <c r="V96" s="8"/>
      <c r="W96" s="7"/>
      <c r="X96" s="7"/>
      <c r="Y96" s="8"/>
      <c r="Z96" s="7"/>
      <c r="AA96" s="8"/>
    </row>
    <row r="97" spans="2:27" ht="14.25" thickTop="1" thickBot="1">
      <c r="B97" s="10"/>
      <c r="D97" s="66"/>
      <c r="E97" s="52" t="s">
        <v>599</v>
      </c>
      <c r="F97" s="7"/>
      <c r="G97" s="8"/>
      <c r="H97" s="7"/>
      <c r="I97" s="6"/>
      <c r="J97" s="7"/>
      <c r="K97" s="8"/>
      <c r="L97" s="7"/>
      <c r="M97" s="8"/>
      <c r="N97" s="7"/>
      <c r="O97" s="8"/>
      <c r="P97" s="7"/>
      <c r="Q97" s="7"/>
      <c r="R97" s="8"/>
      <c r="S97" s="7"/>
      <c r="T97" s="9"/>
      <c r="U97" s="7"/>
      <c r="V97" s="8"/>
      <c r="W97" s="7"/>
      <c r="X97" s="7"/>
      <c r="Y97" s="8"/>
      <c r="Z97" s="7"/>
      <c r="AA97" s="8"/>
    </row>
    <row r="98" spans="2:27" ht="14.25" thickTop="1" thickBot="1">
      <c r="B98" s="10"/>
      <c r="D98" s="66"/>
      <c r="E98" s="52" t="s">
        <v>950</v>
      </c>
      <c r="F98" s="7"/>
      <c r="G98" s="8"/>
      <c r="H98" s="7"/>
      <c r="I98" s="6"/>
      <c r="J98" s="7"/>
      <c r="K98" s="8"/>
      <c r="L98" s="7"/>
      <c r="M98" s="8"/>
      <c r="N98" s="7"/>
      <c r="O98" s="8"/>
      <c r="P98" s="7"/>
      <c r="Q98" s="7"/>
      <c r="R98" s="8"/>
      <c r="S98" s="7"/>
      <c r="T98" s="9"/>
      <c r="U98" s="7"/>
      <c r="V98" s="8"/>
      <c r="W98" s="7"/>
      <c r="X98" s="7"/>
      <c r="Y98" s="8"/>
      <c r="Z98" s="7"/>
      <c r="AA98" s="8"/>
    </row>
    <row r="99" spans="2:27" ht="14.25" thickTop="1" thickBot="1">
      <c r="B99" s="10"/>
      <c r="D99" s="66"/>
      <c r="E99" s="52" t="s">
        <v>618</v>
      </c>
      <c r="F99" s="7"/>
      <c r="G99" s="8"/>
      <c r="H99" s="7"/>
      <c r="I99" s="6"/>
      <c r="J99" s="7"/>
      <c r="K99" s="8"/>
      <c r="L99" s="7"/>
      <c r="M99" s="8"/>
      <c r="N99" s="7"/>
      <c r="O99" s="8"/>
      <c r="P99" s="7"/>
      <c r="Q99" s="7"/>
      <c r="R99" s="8"/>
      <c r="S99" s="7"/>
      <c r="T99" s="9"/>
      <c r="U99" s="7"/>
      <c r="V99" s="8"/>
      <c r="W99" s="7"/>
      <c r="X99" s="7"/>
      <c r="Y99" s="8"/>
      <c r="Z99" s="7"/>
      <c r="AA99" s="8"/>
    </row>
    <row r="100" spans="2:27" ht="14.25" thickTop="1" thickBot="1">
      <c r="B100" s="10"/>
      <c r="D100" s="66"/>
      <c r="E100" s="52" t="s">
        <v>954</v>
      </c>
      <c r="F100" s="7"/>
      <c r="G100" s="8"/>
      <c r="H100" s="7"/>
      <c r="I100" s="6"/>
      <c r="J100" s="7"/>
      <c r="K100" s="8"/>
      <c r="L100" s="7"/>
      <c r="M100" s="8"/>
      <c r="N100" s="7"/>
      <c r="O100" s="8"/>
      <c r="P100" s="7"/>
      <c r="Q100" s="7"/>
      <c r="R100" s="8"/>
      <c r="S100" s="7"/>
      <c r="T100" s="9"/>
      <c r="U100" s="7"/>
      <c r="V100" s="8"/>
      <c r="W100" s="7"/>
      <c r="X100" s="7"/>
      <c r="Y100" s="8"/>
      <c r="Z100" s="7"/>
      <c r="AA100" s="8"/>
    </row>
    <row r="101" spans="2:27" ht="14.25" thickTop="1" thickBot="1">
      <c r="B101" s="10"/>
      <c r="D101" s="66"/>
      <c r="E101" s="52" t="s">
        <v>932</v>
      </c>
      <c r="F101" s="7"/>
      <c r="G101" s="8"/>
      <c r="H101" s="7"/>
      <c r="I101" s="6"/>
      <c r="J101" s="7"/>
      <c r="K101" s="8"/>
      <c r="L101" s="7"/>
      <c r="M101" s="8"/>
      <c r="N101" s="7"/>
      <c r="O101" s="8"/>
      <c r="P101" s="7"/>
      <c r="Q101" s="7"/>
      <c r="R101" s="8"/>
      <c r="S101" s="7"/>
      <c r="T101" s="9"/>
      <c r="U101" s="7"/>
      <c r="V101" s="8"/>
      <c r="W101" s="7"/>
      <c r="X101" s="7"/>
      <c r="Y101" s="8"/>
      <c r="Z101" s="7"/>
      <c r="AA101" s="8"/>
    </row>
    <row r="102" spans="2:27" ht="14.25" thickTop="1" thickBot="1">
      <c r="B102" s="10"/>
      <c r="D102" s="66"/>
      <c r="E102" s="52" t="s">
        <v>796</v>
      </c>
      <c r="F102" s="7"/>
      <c r="G102" s="8"/>
      <c r="H102" s="7"/>
      <c r="I102" s="6"/>
      <c r="J102" s="7"/>
      <c r="K102" s="8"/>
      <c r="L102" s="7"/>
      <c r="M102" s="8"/>
      <c r="N102" s="7"/>
      <c r="O102" s="8"/>
      <c r="P102" s="7"/>
      <c r="Q102" s="7"/>
      <c r="R102" s="8"/>
      <c r="S102" s="7"/>
      <c r="T102" s="9"/>
      <c r="U102" s="7"/>
      <c r="V102" s="8"/>
      <c r="W102" s="7"/>
      <c r="X102" s="7"/>
      <c r="Y102" s="8"/>
      <c r="Z102" s="7"/>
      <c r="AA102" s="8"/>
    </row>
    <row r="103" spans="2:27" ht="14.25" thickTop="1" thickBot="1">
      <c r="B103" s="10"/>
      <c r="D103" s="66"/>
      <c r="E103" s="52" t="s">
        <v>577</v>
      </c>
      <c r="F103" s="7"/>
      <c r="G103" s="8"/>
      <c r="H103" s="7"/>
      <c r="I103" s="6"/>
      <c r="J103" s="7"/>
      <c r="K103" s="8"/>
      <c r="L103" s="7"/>
      <c r="M103" s="8"/>
      <c r="N103" s="7"/>
      <c r="O103" s="8"/>
      <c r="P103" s="7"/>
      <c r="Q103" s="7"/>
      <c r="R103" s="8"/>
      <c r="S103" s="7"/>
      <c r="T103" s="9"/>
      <c r="U103" s="7"/>
      <c r="V103" s="8"/>
      <c r="W103" s="7"/>
      <c r="X103" s="7"/>
      <c r="Y103" s="8"/>
      <c r="Z103" s="7"/>
      <c r="AA103" s="8"/>
    </row>
    <row r="104" spans="2:27" ht="14.25" thickTop="1" thickBot="1">
      <c r="B104" s="10"/>
      <c r="D104" s="66"/>
      <c r="E104" s="52" t="s">
        <v>573</v>
      </c>
      <c r="F104" s="7"/>
      <c r="G104" s="8"/>
      <c r="H104" s="7"/>
      <c r="I104" s="6"/>
      <c r="J104" s="7"/>
      <c r="K104" s="8"/>
      <c r="L104" s="7"/>
      <c r="M104" s="8"/>
      <c r="N104" s="7"/>
      <c r="O104" s="8"/>
      <c r="P104" s="7"/>
      <c r="Q104" s="7"/>
      <c r="R104" s="8"/>
      <c r="S104" s="7"/>
      <c r="T104" s="9"/>
      <c r="U104" s="7"/>
      <c r="V104" s="8"/>
      <c r="W104" s="7"/>
      <c r="X104" s="7"/>
      <c r="Y104" s="8"/>
      <c r="Z104" s="7"/>
      <c r="AA104" s="8"/>
    </row>
    <row r="105" spans="2:27" ht="14.25" thickTop="1" thickBot="1">
      <c r="B105" s="10"/>
      <c r="D105" s="66"/>
      <c r="E105" s="52" t="s">
        <v>936</v>
      </c>
      <c r="F105" s="7"/>
      <c r="G105" s="8"/>
      <c r="H105" s="7"/>
      <c r="I105" s="6"/>
      <c r="J105" s="7"/>
      <c r="K105" s="8"/>
      <c r="L105" s="7"/>
      <c r="M105" s="8"/>
      <c r="N105" s="7"/>
      <c r="O105" s="8"/>
      <c r="P105" s="7"/>
      <c r="Q105" s="7"/>
      <c r="R105" s="8"/>
      <c r="S105" s="7"/>
      <c r="T105" s="9"/>
      <c r="U105" s="7"/>
      <c r="V105" s="8"/>
      <c r="W105" s="7"/>
      <c r="X105" s="7"/>
      <c r="Y105" s="8"/>
      <c r="Z105" s="7"/>
      <c r="AA105" s="8"/>
    </row>
    <row r="106" spans="2:27" ht="14.25" thickTop="1" thickBot="1">
      <c r="B106" s="10"/>
      <c r="D106" s="66"/>
      <c r="E106" s="52" t="s">
        <v>310</v>
      </c>
      <c r="F106" s="7"/>
      <c r="G106" s="8"/>
      <c r="H106" s="7"/>
      <c r="I106" s="6"/>
      <c r="J106" s="7"/>
      <c r="K106" s="8"/>
      <c r="L106" s="7"/>
      <c r="M106" s="8"/>
      <c r="N106" s="7"/>
      <c r="O106" s="8"/>
      <c r="P106" s="7"/>
      <c r="Q106" s="7"/>
      <c r="R106" s="8"/>
      <c r="S106" s="7"/>
      <c r="T106" s="9"/>
      <c r="U106" s="7"/>
      <c r="V106" s="8"/>
      <c r="W106" s="7"/>
      <c r="X106" s="7"/>
      <c r="Y106" s="8"/>
      <c r="Z106" s="7"/>
      <c r="AA106" s="8"/>
    </row>
    <row r="107" spans="2:27" ht="14.25" thickTop="1" thickBot="1">
      <c r="B107" s="10"/>
      <c r="D107" s="66"/>
      <c r="E107" s="52" t="s">
        <v>1268</v>
      </c>
      <c r="F107" s="7"/>
      <c r="G107" s="8"/>
      <c r="H107" s="7"/>
      <c r="I107" s="6"/>
      <c r="J107" s="7"/>
      <c r="K107" s="8"/>
      <c r="L107" s="7"/>
      <c r="M107" s="8"/>
      <c r="N107" s="7"/>
      <c r="O107" s="8"/>
      <c r="P107" s="7"/>
      <c r="Q107" s="7"/>
      <c r="R107" s="8"/>
      <c r="S107" s="7"/>
      <c r="T107" s="9"/>
      <c r="U107" s="7"/>
      <c r="V107" s="8"/>
      <c r="W107" s="7"/>
      <c r="X107" s="7"/>
      <c r="Y107" s="8"/>
      <c r="Z107" s="7"/>
      <c r="AA107" s="8"/>
    </row>
    <row r="108" spans="2:27" ht="14.25" thickTop="1" thickBot="1">
      <c r="B108" s="10"/>
      <c r="D108" s="66"/>
      <c r="E108" s="52" t="s">
        <v>935</v>
      </c>
      <c r="F108" s="7"/>
      <c r="G108" s="8"/>
      <c r="H108" s="7"/>
      <c r="I108" s="6"/>
      <c r="J108" s="7"/>
      <c r="K108" s="8"/>
      <c r="L108" s="7"/>
      <c r="M108" s="8"/>
      <c r="N108" s="7"/>
      <c r="O108" s="8"/>
      <c r="P108" s="7"/>
      <c r="Q108" s="7"/>
      <c r="R108" s="8"/>
      <c r="S108" s="7"/>
      <c r="T108" s="9"/>
      <c r="U108" s="7"/>
      <c r="V108" s="8"/>
      <c r="W108" s="7"/>
      <c r="X108" s="7"/>
      <c r="Y108" s="8"/>
      <c r="Z108" s="7"/>
      <c r="AA108" s="8"/>
    </row>
    <row r="109" spans="2:27" ht="14.25" thickTop="1" thickBot="1">
      <c r="B109" s="10"/>
      <c r="D109" s="66"/>
      <c r="E109" s="52" t="s">
        <v>313</v>
      </c>
      <c r="F109" s="7"/>
      <c r="G109" s="8"/>
      <c r="H109" s="7"/>
      <c r="I109" s="6"/>
      <c r="J109" s="7"/>
      <c r="K109" s="8"/>
      <c r="L109" s="7"/>
      <c r="M109" s="8"/>
      <c r="N109" s="7"/>
      <c r="O109" s="8"/>
      <c r="P109" s="7"/>
      <c r="Q109" s="7"/>
      <c r="R109" s="8"/>
      <c r="S109" s="7"/>
      <c r="T109" s="9"/>
      <c r="U109" s="7"/>
      <c r="V109" s="8"/>
      <c r="W109" s="7"/>
      <c r="X109" s="7"/>
      <c r="Y109" s="8"/>
      <c r="Z109" s="7"/>
      <c r="AA109" s="8"/>
    </row>
    <row r="110" spans="2:27" ht="14.25" thickTop="1" thickBot="1">
      <c r="B110" s="10"/>
      <c r="D110" s="66"/>
      <c r="E110" s="52" t="s">
        <v>1091</v>
      </c>
      <c r="F110" s="7"/>
      <c r="G110" s="8"/>
      <c r="H110" s="7"/>
      <c r="I110" s="6"/>
      <c r="J110" s="7"/>
      <c r="K110" s="8"/>
      <c r="L110" s="7"/>
      <c r="M110" s="8"/>
      <c r="N110" s="7"/>
      <c r="O110" s="8"/>
      <c r="P110" s="7"/>
      <c r="Q110" s="7"/>
      <c r="R110" s="8"/>
      <c r="S110" s="7"/>
      <c r="T110" s="9"/>
      <c r="U110" s="7"/>
      <c r="V110" s="8"/>
      <c r="W110" s="7"/>
      <c r="X110" s="7"/>
      <c r="Y110" s="8"/>
      <c r="Z110" s="7"/>
      <c r="AA110" s="8"/>
    </row>
    <row r="111" spans="2:27" ht="14.25" thickTop="1" thickBot="1">
      <c r="B111" s="10"/>
      <c r="D111" s="66"/>
      <c r="E111" s="52" t="s">
        <v>956</v>
      </c>
      <c r="F111" s="7"/>
      <c r="G111" s="8"/>
      <c r="H111" s="7"/>
      <c r="I111" s="6"/>
      <c r="J111" s="7"/>
      <c r="K111" s="8"/>
      <c r="L111" s="7"/>
      <c r="M111" s="8"/>
      <c r="N111" s="7"/>
      <c r="O111" s="8"/>
      <c r="P111" s="7"/>
      <c r="Q111" s="7"/>
      <c r="R111" s="8"/>
      <c r="S111" s="7"/>
      <c r="T111" s="9"/>
      <c r="U111" s="7"/>
      <c r="V111" s="8"/>
      <c r="W111" s="7"/>
      <c r="X111" s="7"/>
      <c r="Y111" s="8"/>
      <c r="Z111" s="7"/>
      <c r="AA111" s="8"/>
    </row>
    <row r="112" spans="2:27" ht="14.25" thickTop="1" thickBot="1">
      <c r="B112" s="10"/>
      <c r="D112" s="66"/>
      <c r="E112" s="52" t="s">
        <v>672</v>
      </c>
      <c r="F112" s="7"/>
      <c r="G112" s="8"/>
      <c r="H112" s="7"/>
      <c r="I112" s="6"/>
      <c r="J112" s="7"/>
      <c r="K112" s="8"/>
      <c r="L112" s="7"/>
      <c r="M112" s="8"/>
      <c r="N112" s="7"/>
      <c r="O112" s="8"/>
      <c r="P112" s="7"/>
      <c r="Q112" s="7"/>
      <c r="R112" s="8"/>
      <c r="S112" s="7"/>
      <c r="T112" s="9"/>
      <c r="U112" s="7"/>
      <c r="V112" s="8"/>
      <c r="W112" s="7"/>
      <c r="X112" s="7"/>
      <c r="Y112" s="8"/>
      <c r="Z112" s="7"/>
      <c r="AA112" s="8"/>
    </row>
    <row r="113" spans="2:27" ht="14.25" thickTop="1" thickBot="1">
      <c r="B113" s="10"/>
      <c r="D113" s="66"/>
      <c r="E113" s="52" t="s">
        <v>569</v>
      </c>
      <c r="F113" s="7"/>
      <c r="G113" s="8"/>
      <c r="H113" s="7"/>
      <c r="I113" s="6"/>
      <c r="J113" s="7"/>
      <c r="K113" s="8"/>
      <c r="L113" s="7"/>
      <c r="M113" s="8"/>
      <c r="N113" s="7"/>
      <c r="O113" s="8"/>
      <c r="P113" s="7"/>
      <c r="Q113" s="7"/>
      <c r="R113" s="8"/>
      <c r="S113" s="7"/>
      <c r="T113" s="9"/>
      <c r="U113" s="7"/>
      <c r="V113" s="8"/>
      <c r="W113" s="7"/>
      <c r="X113" s="7"/>
      <c r="Y113" s="8"/>
      <c r="Z113" s="7"/>
      <c r="AA113" s="8"/>
    </row>
    <row r="114" spans="2:27" ht="14.25" thickTop="1" thickBot="1">
      <c r="B114" s="10"/>
      <c r="D114" s="66"/>
      <c r="E114" s="52" t="s">
        <v>319</v>
      </c>
      <c r="F114" s="7"/>
      <c r="G114" s="8"/>
      <c r="H114" s="7"/>
      <c r="I114" s="6"/>
      <c r="J114" s="7"/>
      <c r="K114" s="8"/>
      <c r="L114" s="7"/>
      <c r="M114" s="8"/>
      <c r="N114" s="7"/>
      <c r="O114" s="8"/>
      <c r="P114" s="7"/>
      <c r="Q114" s="7"/>
      <c r="R114" s="8"/>
      <c r="S114" s="7"/>
      <c r="T114" s="9"/>
      <c r="U114" s="7"/>
      <c r="V114" s="8"/>
      <c r="W114" s="7"/>
      <c r="X114" s="7"/>
      <c r="Y114" s="8"/>
      <c r="Z114" s="7"/>
      <c r="AA114" s="8"/>
    </row>
    <row r="115" spans="2:27" ht="14.25" thickTop="1" thickBot="1">
      <c r="B115" s="10"/>
      <c r="D115" s="66"/>
      <c r="E115" s="52" t="s">
        <v>321</v>
      </c>
      <c r="F115" s="7"/>
      <c r="G115" s="8"/>
      <c r="H115" s="7"/>
      <c r="I115" s="6"/>
      <c r="J115" s="7"/>
      <c r="K115" s="8"/>
      <c r="L115" s="7"/>
      <c r="M115" s="8"/>
      <c r="N115" s="7"/>
      <c r="O115" s="8"/>
      <c r="P115" s="7"/>
      <c r="Q115" s="7"/>
      <c r="R115" s="8"/>
      <c r="S115" s="7"/>
      <c r="T115" s="9"/>
      <c r="U115" s="7"/>
      <c r="V115" s="8"/>
      <c r="W115" s="7"/>
      <c r="X115" s="7"/>
      <c r="Y115" s="8"/>
      <c r="Z115" s="7"/>
      <c r="AA115" s="8"/>
    </row>
    <row r="116" spans="2:27" ht="14.25" thickTop="1" thickBot="1">
      <c r="B116" s="10"/>
      <c r="D116" s="66"/>
      <c r="E116" s="52" t="s">
        <v>562</v>
      </c>
      <c r="F116" s="7"/>
      <c r="G116" s="8"/>
      <c r="H116" s="7"/>
      <c r="I116" s="6"/>
      <c r="J116" s="7"/>
      <c r="K116" s="8"/>
      <c r="L116" s="7"/>
      <c r="M116" s="8"/>
      <c r="N116" s="7"/>
      <c r="O116" s="8"/>
      <c r="P116" s="7"/>
      <c r="Q116" s="7"/>
      <c r="R116" s="8"/>
      <c r="S116" s="7"/>
      <c r="T116" s="9"/>
      <c r="U116" s="7"/>
      <c r="V116" s="8"/>
      <c r="W116" s="7"/>
      <c r="X116" s="7"/>
      <c r="Y116" s="8"/>
      <c r="Z116" s="7"/>
      <c r="AA116" s="8"/>
    </row>
    <row r="117" spans="2:27" ht="14.25" thickTop="1" thickBot="1">
      <c r="B117" s="10"/>
      <c r="D117" s="66"/>
      <c r="E117" s="52" t="s">
        <v>683</v>
      </c>
      <c r="F117" s="7"/>
      <c r="G117" s="8"/>
      <c r="H117" s="7"/>
      <c r="I117" s="6"/>
      <c r="J117" s="7"/>
      <c r="K117" s="8"/>
      <c r="L117" s="7"/>
      <c r="M117" s="8"/>
      <c r="N117" s="7"/>
      <c r="O117" s="8"/>
      <c r="P117" s="7"/>
      <c r="Q117" s="7"/>
      <c r="R117" s="8"/>
      <c r="S117" s="7"/>
      <c r="T117" s="9"/>
      <c r="U117" s="7"/>
      <c r="V117" s="8"/>
      <c r="W117" s="7"/>
      <c r="X117" s="7"/>
      <c r="Y117" s="8"/>
      <c r="Z117" s="7"/>
      <c r="AA117" s="8"/>
    </row>
    <row r="118" spans="2:27" ht="14.25" thickTop="1" thickBot="1">
      <c r="B118" s="10"/>
      <c r="D118" s="66"/>
      <c r="E118" s="52" t="s">
        <v>930</v>
      </c>
      <c r="F118" s="7"/>
      <c r="G118" s="8"/>
      <c r="H118" s="7"/>
      <c r="I118" s="6"/>
      <c r="J118" s="7"/>
      <c r="K118" s="8"/>
      <c r="L118" s="7"/>
      <c r="M118" s="8"/>
      <c r="N118" s="7"/>
      <c r="O118" s="8"/>
      <c r="P118" s="7"/>
      <c r="Q118" s="7"/>
      <c r="R118" s="8"/>
      <c r="S118" s="7"/>
      <c r="T118" s="9"/>
      <c r="U118" s="7"/>
      <c r="V118" s="8"/>
      <c r="W118" s="7"/>
      <c r="X118" s="7"/>
      <c r="Y118" s="8"/>
      <c r="Z118" s="7"/>
      <c r="AA118" s="8"/>
    </row>
    <row r="119" spans="2:27" ht="14.25" thickTop="1" thickBot="1">
      <c r="B119" s="10"/>
      <c r="D119" s="66"/>
      <c r="E119" s="52" t="s">
        <v>633</v>
      </c>
      <c r="F119" s="7"/>
      <c r="G119" s="8"/>
      <c r="H119" s="7"/>
      <c r="I119" s="6"/>
      <c r="J119" s="7"/>
      <c r="K119" s="8"/>
      <c r="L119" s="7"/>
      <c r="M119" s="8"/>
      <c r="N119" s="7"/>
      <c r="O119" s="8"/>
      <c r="P119" s="7"/>
      <c r="Q119" s="7"/>
      <c r="R119" s="8"/>
      <c r="S119" s="7"/>
      <c r="T119" s="9"/>
      <c r="U119" s="7"/>
      <c r="V119" s="8"/>
      <c r="W119" s="7"/>
      <c r="X119" s="7"/>
      <c r="Y119" s="8"/>
      <c r="Z119" s="7"/>
      <c r="AA119" s="8"/>
    </row>
    <row r="120" spans="2:27" ht="14.25" thickTop="1" thickBot="1">
      <c r="B120" s="10"/>
      <c r="D120" s="66"/>
      <c r="E120" s="52" t="s">
        <v>629</v>
      </c>
      <c r="F120" s="7"/>
      <c r="G120" s="8"/>
      <c r="H120" s="7"/>
      <c r="I120" s="6"/>
      <c r="J120" s="7"/>
      <c r="K120" s="8"/>
      <c r="L120" s="7"/>
      <c r="M120" s="8"/>
      <c r="N120" s="7"/>
      <c r="O120" s="8"/>
      <c r="P120" s="7"/>
      <c r="Q120" s="7"/>
      <c r="R120" s="8"/>
      <c r="S120" s="7"/>
      <c r="T120" s="9"/>
      <c r="U120" s="7"/>
      <c r="V120" s="8"/>
      <c r="W120" s="7"/>
      <c r="X120" s="7"/>
      <c r="Y120" s="8"/>
      <c r="Z120" s="7"/>
      <c r="AA120" s="8"/>
    </row>
    <row r="121" spans="2:27" ht="14.25" thickTop="1" thickBot="1">
      <c r="B121" s="10"/>
      <c r="D121" s="66"/>
      <c r="E121" s="52" t="s">
        <v>625</v>
      </c>
      <c r="F121" s="7"/>
      <c r="G121" s="8"/>
      <c r="H121" s="7"/>
      <c r="I121" s="6"/>
      <c r="J121" s="7"/>
      <c r="K121" s="8"/>
      <c r="L121" s="7"/>
      <c r="M121" s="8"/>
      <c r="N121" s="7"/>
      <c r="O121" s="8"/>
      <c r="P121" s="7"/>
      <c r="Q121" s="7"/>
      <c r="R121" s="8"/>
      <c r="S121" s="7"/>
      <c r="T121" s="9"/>
      <c r="U121" s="7"/>
      <c r="V121" s="8"/>
      <c r="W121" s="7"/>
      <c r="X121" s="7"/>
      <c r="Y121" s="8"/>
      <c r="Z121" s="7"/>
      <c r="AA121" s="8"/>
    </row>
    <row r="122" spans="2:27" ht="14.25" thickTop="1" thickBot="1">
      <c r="B122" s="10"/>
      <c r="D122" s="66"/>
      <c r="E122" s="52" t="s">
        <v>607</v>
      </c>
      <c r="F122" s="7"/>
      <c r="G122" s="8"/>
      <c r="H122" s="7"/>
      <c r="I122" s="6"/>
      <c r="J122" s="7"/>
      <c r="K122" s="8"/>
      <c r="L122" s="7"/>
      <c r="M122" s="8"/>
      <c r="N122" s="7"/>
      <c r="O122" s="8"/>
      <c r="P122" s="7"/>
      <c r="Q122" s="7"/>
      <c r="R122" s="8"/>
      <c r="S122" s="7"/>
      <c r="T122" s="9"/>
      <c r="U122" s="7"/>
      <c r="V122" s="8"/>
      <c r="W122" s="7"/>
      <c r="X122" s="7"/>
      <c r="Y122" s="8"/>
      <c r="Z122" s="7"/>
      <c r="AA122" s="8"/>
    </row>
    <row r="123" spans="2:27" ht="14.25" thickTop="1" thickBot="1">
      <c r="B123" s="10"/>
      <c r="D123" s="66"/>
      <c r="E123" s="52" t="s">
        <v>934</v>
      </c>
      <c r="F123" s="7"/>
      <c r="G123" s="8"/>
      <c r="H123" s="7"/>
      <c r="I123" s="6"/>
      <c r="J123" s="7"/>
      <c r="K123" s="8"/>
      <c r="L123" s="7"/>
      <c r="M123" s="8"/>
      <c r="N123" s="7"/>
      <c r="O123" s="8"/>
      <c r="P123" s="7"/>
      <c r="Q123" s="7"/>
      <c r="R123" s="8"/>
      <c r="S123" s="7"/>
      <c r="T123" s="9"/>
      <c r="U123" s="7"/>
      <c r="V123" s="8"/>
      <c r="W123" s="7"/>
      <c r="X123" s="7"/>
      <c r="Y123" s="8"/>
      <c r="Z123" s="7"/>
      <c r="AA123" s="8"/>
    </row>
    <row r="124" spans="2:27" ht="14.25" thickTop="1" thickBot="1">
      <c r="B124" s="10"/>
      <c r="D124" s="66"/>
      <c r="E124" s="52" t="s">
        <v>678</v>
      </c>
      <c r="F124" s="7"/>
      <c r="G124" s="8"/>
      <c r="H124" s="7"/>
      <c r="I124" s="6"/>
      <c r="J124" s="7"/>
      <c r="K124" s="8"/>
      <c r="L124" s="7"/>
      <c r="M124" s="8"/>
      <c r="N124" s="7"/>
      <c r="O124" s="8"/>
      <c r="P124" s="7"/>
      <c r="Q124" s="7"/>
      <c r="R124" s="8"/>
      <c r="S124" s="7"/>
      <c r="T124" s="9"/>
      <c r="U124" s="7"/>
      <c r="V124" s="8"/>
      <c r="W124" s="7"/>
      <c r="X124" s="7"/>
      <c r="Y124" s="8"/>
      <c r="Z124" s="7"/>
      <c r="AA124" s="8"/>
    </row>
    <row r="125" spans="2:27" ht="14.25" thickTop="1" thickBot="1">
      <c r="B125" s="10"/>
      <c r="D125" s="66"/>
      <c r="E125" s="52" t="s">
        <v>684</v>
      </c>
      <c r="F125" s="7"/>
      <c r="G125" s="8"/>
      <c r="H125" s="7"/>
      <c r="I125" s="6"/>
      <c r="J125" s="7"/>
      <c r="K125" s="8"/>
      <c r="L125" s="7"/>
      <c r="M125" s="8"/>
      <c r="N125" s="7"/>
      <c r="O125" s="8"/>
      <c r="P125" s="7"/>
      <c r="Q125" s="7"/>
      <c r="R125" s="8"/>
      <c r="S125" s="7"/>
      <c r="T125" s="9"/>
      <c r="U125" s="7"/>
      <c r="V125" s="8"/>
      <c r="W125" s="7"/>
      <c r="X125" s="7"/>
      <c r="Y125" s="8"/>
      <c r="Z125" s="7"/>
      <c r="AA125" s="8"/>
    </row>
    <row r="126" spans="2:27" ht="14.25" thickTop="1" thickBot="1">
      <c r="B126" s="10"/>
      <c r="D126" s="66"/>
      <c r="E126" s="52" t="s">
        <v>496</v>
      </c>
      <c r="F126" s="7"/>
      <c r="G126" s="8"/>
      <c r="H126" s="7"/>
      <c r="I126" s="6"/>
      <c r="J126" s="7"/>
      <c r="K126" s="8"/>
      <c r="L126" s="7"/>
      <c r="M126" s="8"/>
      <c r="N126" s="7"/>
      <c r="O126" s="8"/>
      <c r="P126" s="7"/>
      <c r="Q126" s="7"/>
      <c r="R126" s="8"/>
      <c r="S126" s="7"/>
      <c r="T126" s="9"/>
      <c r="U126" s="7"/>
      <c r="V126" s="8"/>
      <c r="W126" s="7"/>
      <c r="X126" s="7"/>
      <c r="Y126" s="8"/>
      <c r="Z126" s="7"/>
      <c r="AA126" s="8"/>
    </row>
    <row r="127" spans="2:27" ht="14.25" thickTop="1" thickBot="1">
      <c r="B127" s="10"/>
      <c r="D127" s="66"/>
      <c r="E127" s="52" t="s">
        <v>520</v>
      </c>
      <c r="F127" s="7"/>
      <c r="G127" s="8"/>
      <c r="H127" s="7"/>
      <c r="I127" s="6"/>
      <c r="J127" s="7"/>
      <c r="K127" s="8"/>
      <c r="L127" s="7"/>
      <c r="M127" s="8"/>
      <c r="N127" s="7"/>
      <c r="O127" s="8"/>
      <c r="P127" s="7"/>
      <c r="Q127" s="7"/>
      <c r="R127" s="8"/>
      <c r="S127" s="7"/>
      <c r="T127" s="9"/>
      <c r="U127" s="7"/>
      <c r="V127" s="8"/>
      <c r="W127" s="7"/>
      <c r="X127" s="7"/>
      <c r="Y127" s="8"/>
      <c r="Z127" s="7"/>
      <c r="AA127" s="8"/>
    </row>
    <row r="128" spans="2:27" ht="14.25" thickTop="1" thickBot="1">
      <c r="B128" s="10"/>
      <c r="D128" s="66"/>
      <c r="E128" s="52" t="s">
        <v>680</v>
      </c>
      <c r="F128" s="7"/>
      <c r="G128" s="8"/>
      <c r="H128" s="7"/>
      <c r="I128" s="6"/>
      <c r="J128" s="7"/>
      <c r="K128" s="8"/>
      <c r="L128" s="7"/>
      <c r="M128" s="8"/>
      <c r="N128" s="7"/>
      <c r="O128" s="8"/>
      <c r="P128" s="7"/>
      <c r="Q128" s="7"/>
      <c r="R128" s="8"/>
      <c r="S128" s="7"/>
      <c r="T128" s="9"/>
      <c r="U128" s="7"/>
      <c r="V128" s="8"/>
      <c r="W128" s="7"/>
      <c r="X128" s="7"/>
      <c r="Y128" s="8"/>
      <c r="Z128" s="7"/>
      <c r="AA128" s="8"/>
    </row>
    <row r="129" spans="2:27" ht="14.25" thickTop="1" thickBot="1">
      <c r="B129" s="10"/>
      <c r="D129" s="66"/>
      <c r="E129" s="52" t="s">
        <v>568</v>
      </c>
      <c r="F129" s="7"/>
      <c r="G129" s="8"/>
      <c r="H129" s="7"/>
      <c r="I129" s="6"/>
      <c r="J129" s="7"/>
      <c r="K129" s="8"/>
      <c r="L129" s="7"/>
      <c r="M129" s="8"/>
      <c r="N129" s="7"/>
      <c r="O129" s="8"/>
      <c r="P129" s="7"/>
      <c r="Q129" s="7"/>
      <c r="R129" s="8"/>
      <c r="S129" s="7"/>
      <c r="T129" s="9"/>
      <c r="U129" s="7"/>
      <c r="V129" s="8"/>
      <c r="W129" s="7"/>
      <c r="X129" s="7"/>
      <c r="Y129" s="8"/>
      <c r="Z129" s="7"/>
      <c r="AA129" s="8"/>
    </row>
    <row r="130" spans="2:27" ht="14.25" thickTop="1" thickBot="1">
      <c r="B130" s="10"/>
      <c r="D130" s="66"/>
      <c r="E130" s="52" t="s">
        <v>679</v>
      </c>
      <c r="F130" s="7"/>
      <c r="G130" s="8"/>
      <c r="H130" s="7"/>
      <c r="I130" s="6"/>
      <c r="J130" s="7"/>
      <c r="K130" s="8"/>
      <c r="L130" s="7"/>
      <c r="M130" s="8"/>
      <c r="N130" s="7"/>
      <c r="O130" s="8"/>
      <c r="P130" s="7"/>
      <c r="Q130" s="7"/>
      <c r="R130" s="8"/>
      <c r="S130" s="7"/>
      <c r="T130" s="9"/>
      <c r="U130" s="7"/>
      <c r="V130" s="8"/>
      <c r="W130" s="7"/>
      <c r="X130" s="7"/>
      <c r="Y130" s="8"/>
      <c r="Z130" s="7"/>
      <c r="AA130" s="8"/>
    </row>
    <row r="131" spans="2:27" ht="14.25" thickTop="1" thickBot="1">
      <c r="B131" s="10"/>
      <c r="D131" s="66"/>
      <c r="E131" s="52" t="s">
        <v>327</v>
      </c>
      <c r="F131" s="7"/>
      <c r="G131" s="8"/>
      <c r="H131" s="7"/>
      <c r="I131" s="6"/>
      <c r="J131" s="7"/>
      <c r="K131" s="8"/>
      <c r="L131" s="7"/>
      <c r="M131" s="8"/>
      <c r="N131" s="7"/>
      <c r="O131" s="8"/>
      <c r="P131" s="7"/>
      <c r="Q131" s="7"/>
      <c r="R131" s="8"/>
      <c r="S131" s="7"/>
      <c r="T131" s="9"/>
      <c r="U131" s="7"/>
      <c r="V131" s="8"/>
      <c r="W131" s="7"/>
      <c r="X131" s="7"/>
      <c r="Y131" s="8"/>
      <c r="Z131" s="7"/>
      <c r="AA131" s="8"/>
    </row>
    <row r="132" spans="2:27" ht="14.25" thickTop="1" thickBot="1">
      <c r="B132" s="10"/>
      <c r="D132" s="66"/>
      <c r="E132" s="52" t="s">
        <v>601</v>
      </c>
      <c r="F132" s="7"/>
      <c r="G132" s="8"/>
      <c r="H132" s="7"/>
      <c r="I132" s="6"/>
      <c r="J132" s="7"/>
      <c r="K132" s="8"/>
      <c r="L132" s="7"/>
      <c r="M132" s="8"/>
      <c r="N132" s="7"/>
      <c r="O132" s="8"/>
      <c r="P132" s="7"/>
      <c r="Q132" s="7"/>
      <c r="R132" s="8"/>
      <c r="S132" s="7"/>
      <c r="T132" s="9"/>
      <c r="U132" s="7"/>
      <c r="V132" s="8"/>
      <c r="W132" s="7"/>
      <c r="X132" s="7"/>
      <c r="Y132" s="8"/>
      <c r="Z132" s="7"/>
      <c r="AA132" s="8"/>
    </row>
    <row r="133" spans="2:27" ht="14.25" thickTop="1" thickBot="1">
      <c r="B133" s="10"/>
      <c r="D133" s="66"/>
      <c r="E133" s="52" t="s">
        <v>938</v>
      </c>
      <c r="F133" s="7"/>
      <c r="G133" s="8"/>
      <c r="H133" s="7"/>
      <c r="I133" s="6"/>
      <c r="J133" s="7"/>
      <c r="K133" s="8"/>
      <c r="L133" s="7"/>
      <c r="M133" s="8"/>
      <c r="N133" s="7"/>
      <c r="O133" s="8"/>
      <c r="P133" s="7"/>
      <c r="Q133" s="7"/>
      <c r="R133" s="8"/>
      <c r="S133" s="7"/>
      <c r="T133" s="9"/>
      <c r="U133" s="7"/>
      <c r="V133" s="8"/>
      <c r="W133" s="7"/>
      <c r="X133" s="7"/>
      <c r="Y133" s="8"/>
      <c r="Z133" s="7"/>
      <c r="AA133" s="8"/>
    </row>
    <row r="134" spans="2:27" ht="14.25" thickTop="1" thickBot="1">
      <c r="B134" s="10"/>
      <c r="D134" s="66"/>
      <c r="E134" s="52" t="s">
        <v>1117</v>
      </c>
      <c r="F134" s="7"/>
      <c r="G134" s="8"/>
      <c r="H134" s="7"/>
      <c r="I134" s="6"/>
      <c r="J134" s="7"/>
      <c r="K134" s="8"/>
      <c r="L134" s="7"/>
      <c r="M134" s="8"/>
      <c r="N134" s="7"/>
      <c r="O134" s="8"/>
      <c r="P134" s="7"/>
      <c r="Q134" s="7"/>
      <c r="R134" s="8"/>
      <c r="S134" s="7"/>
      <c r="T134" s="9"/>
      <c r="U134" s="7"/>
      <c r="V134" s="8"/>
      <c r="W134" s="7"/>
      <c r="X134" s="7"/>
      <c r="Y134" s="8"/>
      <c r="Z134" s="7"/>
      <c r="AA134" s="8"/>
    </row>
    <row r="135" spans="2:27" ht="14.25" thickTop="1" thickBot="1">
      <c r="B135" s="10"/>
      <c r="D135" s="66"/>
      <c r="E135" s="52" t="s">
        <v>1119</v>
      </c>
      <c r="F135" s="7"/>
      <c r="G135" s="8"/>
      <c r="H135" s="7"/>
      <c r="I135" s="6"/>
      <c r="J135" s="7"/>
      <c r="K135" s="8"/>
      <c r="L135" s="7"/>
      <c r="M135" s="8"/>
      <c r="N135" s="7"/>
      <c r="O135" s="8"/>
      <c r="P135" s="7"/>
      <c r="Q135" s="7"/>
      <c r="R135" s="8"/>
      <c r="S135" s="7"/>
      <c r="T135" s="9"/>
      <c r="U135" s="7"/>
      <c r="V135" s="8"/>
      <c r="W135" s="7"/>
      <c r="X135" s="7"/>
      <c r="Y135" s="8"/>
      <c r="Z135" s="7"/>
      <c r="AA135" s="8"/>
    </row>
    <row r="136" spans="2:27" ht="14.25" thickTop="1" thickBot="1">
      <c r="B136" s="10"/>
      <c r="D136" s="66"/>
      <c r="E136" s="52" t="s">
        <v>1118</v>
      </c>
      <c r="F136" s="7"/>
      <c r="G136" s="8"/>
      <c r="H136" s="7"/>
      <c r="I136" s="6"/>
      <c r="J136" s="7"/>
      <c r="K136" s="8"/>
      <c r="L136" s="7"/>
      <c r="M136" s="8"/>
      <c r="N136" s="7"/>
      <c r="O136" s="8"/>
      <c r="P136" s="7"/>
      <c r="Q136" s="7"/>
      <c r="R136" s="8"/>
      <c r="S136" s="7"/>
      <c r="T136" s="9"/>
      <c r="U136" s="7"/>
      <c r="V136" s="8"/>
      <c r="W136" s="7"/>
      <c r="X136" s="7"/>
      <c r="Y136" s="8"/>
      <c r="Z136" s="7"/>
      <c r="AA136" s="8"/>
    </row>
    <row r="137" spans="2:27" ht="14.25" thickTop="1" thickBot="1">
      <c r="B137" s="10"/>
      <c r="D137" s="66"/>
      <c r="E137" s="52" t="s">
        <v>1269</v>
      </c>
      <c r="F137" s="7"/>
      <c r="G137" s="8"/>
      <c r="H137" s="7"/>
      <c r="I137" s="6"/>
      <c r="J137" s="7"/>
      <c r="K137" s="8"/>
      <c r="L137" s="7"/>
      <c r="M137" s="8"/>
      <c r="N137" s="7"/>
      <c r="O137" s="8"/>
      <c r="P137" s="7"/>
      <c r="Q137" s="7"/>
      <c r="R137" s="8"/>
      <c r="S137" s="7"/>
      <c r="T137" s="9"/>
      <c r="U137" s="7"/>
      <c r="V137" s="8"/>
      <c r="W137" s="7"/>
      <c r="X137" s="7"/>
      <c r="Y137" s="8"/>
      <c r="Z137" s="7"/>
      <c r="AA137" s="8"/>
    </row>
    <row r="138" spans="2:27" ht="14.25" thickTop="1" thickBot="1">
      <c r="B138" s="10"/>
      <c r="D138" s="66"/>
      <c r="E138" s="52" t="s">
        <v>335</v>
      </c>
      <c r="F138" s="7"/>
      <c r="G138" s="8"/>
      <c r="H138" s="7"/>
      <c r="I138" s="6"/>
      <c r="J138" s="7"/>
      <c r="K138" s="8"/>
      <c r="L138" s="7"/>
      <c r="M138" s="8"/>
      <c r="N138" s="7"/>
      <c r="O138" s="8"/>
      <c r="P138" s="7"/>
      <c r="Q138" s="7"/>
      <c r="R138" s="8"/>
      <c r="S138" s="7"/>
      <c r="T138" s="9"/>
      <c r="U138" s="7"/>
      <c r="V138" s="8"/>
      <c r="W138" s="7"/>
      <c r="X138" s="7"/>
      <c r="Y138" s="8"/>
      <c r="Z138" s="7"/>
      <c r="AA138" s="8"/>
    </row>
    <row r="139" spans="2:27" ht="14.25" thickTop="1" thickBot="1">
      <c r="B139" s="10"/>
      <c r="D139" s="66"/>
      <c r="E139" s="52" t="s">
        <v>336</v>
      </c>
      <c r="F139" s="7"/>
      <c r="G139" s="8"/>
      <c r="H139" s="7"/>
      <c r="I139" s="6"/>
      <c r="J139" s="7"/>
      <c r="K139" s="8"/>
      <c r="L139" s="7"/>
      <c r="M139" s="8"/>
      <c r="N139" s="7"/>
      <c r="O139" s="8"/>
      <c r="P139" s="7"/>
      <c r="Q139" s="7"/>
      <c r="R139" s="8"/>
      <c r="S139" s="7"/>
      <c r="T139" s="9"/>
      <c r="U139" s="7"/>
      <c r="V139" s="8"/>
      <c r="W139" s="7"/>
      <c r="X139" s="7"/>
      <c r="Y139" s="8"/>
      <c r="Z139" s="7"/>
      <c r="AA139" s="8"/>
    </row>
    <row r="140" spans="2:27" ht="14.25" thickTop="1" thickBot="1">
      <c r="B140" s="10"/>
      <c r="D140" s="66"/>
      <c r="E140" s="52" t="s">
        <v>521</v>
      </c>
      <c r="F140" s="7"/>
      <c r="G140" s="8"/>
      <c r="H140" s="7"/>
      <c r="I140" s="6"/>
      <c r="J140" s="7"/>
      <c r="K140" s="8"/>
      <c r="L140" s="7"/>
      <c r="M140" s="8"/>
      <c r="N140" s="7"/>
      <c r="O140" s="8"/>
      <c r="P140" s="7"/>
      <c r="Q140" s="7"/>
      <c r="R140" s="8"/>
      <c r="S140" s="7"/>
      <c r="T140" s="9"/>
      <c r="U140" s="7"/>
      <c r="V140" s="8"/>
      <c r="W140" s="7"/>
      <c r="X140" s="7"/>
      <c r="Y140" s="8"/>
      <c r="Z140" s="7"/>
      <c r="AA140" s="8"/>
    </row>
    <row r="141" spans="2:27" ht="14.25" thickTop="1" thickBot="1">
      <c r="B141" s="10"/>
      <c r="D141" s="66"/>
      <c r="E141" s="52" t="s">
        <v>598</v>
      </c>
      <c r="F141" s="7"/>
      <c r="G141" s="8"/>
      <c r="H141" s="7"/>
      <c r="I141" s="6"/>
      <c r="J141" s="7"/>
      <c r="K141" s="8"/>
      <c r="L141" s="7"/>
      <c r="M141" s="8"/>
      <c r="N141" s="7"/>
      <c r="O141" s="8"/>
      <c r="P141" s="7"/>
      <c r="Q141" s="7"/>
      <c r="R141" s="8"/>
      <c r="S141" s="7"/>
      <c r="T141" s="9"/>
      <c r="U141" s="7"/>
      <c r="V141" s="8"/>
      <c r="W141" s="7"/>
      <c r="X141" s="7"/>
      <c r="Y141" s="8"/>
      <c r="Z141" s="7"/>
      <c r="AA141" s="8"/>
    </row>
    <row r="142" spans="2:27" ht="14.25" thickTop="1" thickBot="1">
      <c r="B142" s="10"/>
      <c r="D142" s="66"/>
      <c r="E142" s="52" t="s">
        <v>339</v>
      </c>
      <c r="F142" s="7"/>
      <c r="G142" s="8"/>
      <c r="H142" s="7"/>
      <c r="I142" s="6"/>
      <c r="J142" s="7"/>
      <c r="K142" s="8"/>
      <c r="L142" s="7"/>
      <c r="M142" s="8"/>
      <c r="N142" s="7"/>
      <c r="O142" s="8"/>
      <c r="P142" s="7"/>
      <c r="Q142" s="7"/>
      <c r="R142" s="8"/>
      <c r="S142" s="7"/>
      <c r="T142" s="9"/>
      <c r="U142" s="7"/>
      <c r="V142" s="8"/>
      <c r="W142" s="7"/>
      <c r="X142" s="7"/>
      <c r="Y142" s="8"/>
      <c r="Z142" s="7"/>
      <c r="AA142" s="8"/>
    </row>
    <row r="143" spans="2:27" ht="14.25" thickTop="1" thickBot="1">
      <c r="B143" s="10"/>
      <c r="D143" s="66"/>
      <c r="E143" s="52" t="s">
        <v>603</v>
      </c>
      <c r="F143" s="7"/>
      <c r="G143" s="8"/>
      <c r="H143" s="7"/>
      <c r="I143" s="6"/>
      <c r="J143" s="7"/>
      <c r="K143" s="8"/>
      <c r="L143" s="7"/>
      <c r="M143" s="8"/>
      <c r="N143" s="7"/>
      <c r="O143" s="8"/>
      <c r="P143" s="7"/>
      <c r="Q143" s="7"/>
      <c r="R143" s="8"/>
      <c r="S143" s="7"/>
      <c r="T143" s="9"/>
      <c r="U143" s="7"/>
      <c r="V143" s="8"/>
      <c r="W143" s="7"/>
      <c r="X143" s="7"/>
      <c r="Y143" s="8"/>
      <c r="Z143" s="7"/>
      <c r="AA143" s="8"/>
    </row>
    <row r="144" spans="2:27" ht="14.25" thickTop="1" thickBot="1">
      <c r="B144" s="10"/>
      <c r="D144" s="66"/>
      <c r="E144" s="52" t="s">
        <v>298</v>
      </c>
      <c r="F144" s="7"/>
      <c r="G144" s="8"/>
      <c r="H144" s="7"/>
      <c r="I144" s="6"/>
      <c r="J144" s="7"/>
      <c r="K144" s="8"/>
      <c r="L144" s="7"/>
      <c r="M144" s="8"/>
      <c r="N144" s="7"/>
      <c r="O144" s="8"/>
      <c r="P144" s="7"/>
      <c r="Q144" s="7"/>
      <c r="R144" s="8"/>
      <c r="S144" s="7"/>
      <c r="T144" s="9"/>
      <c r="U144" s="7"/>
      <c r="V144" s="8"/>
      <c r="W144" s="7"/>
      <c r="X144" s="7"/>
      <c r="Y144" s="8"/>
      <c r="Z144" s="7"/>
      <c r="AA144" s="8"/>
    </row>
    <row r="145" spans="2:27" ht="14.25" thickTop="1" thickBot="1">
      <c r="B145" s="10"/>
      <c r="D145" s="66"/>
      <c r="E145" s="52" t="s">
        <v>344</v>
      </c>
      <c r="F145" s="7"/>
      <c r="G145" s="8"/>
      <c r="H145" s="7"/>
      <c r="I145" s="6"/>
      <c r="J145" s="7"/>
      <c r="K145" s="8"/>
      <c r="L145" s="7"/>
      <c r="M145" s="8"/>
      <c r="N145" s="7"/>
      <c r="O145" s="8"/>
      <c r="P145" s="7"/>
      <c r="Q145" s="7"/>
      <c r="R145" s="8"/>
      <c r="S145" s="7"/>
      <c r="T145" s="9"/>
      <c r="U145" s="7"/>
      <c r="V145" s="8"/>
      <c r="W145" s="7"/>
      <c r="X145" s="7"/>
      <c r="Y145" s="8"/>
      <c r="Z145" s="7"/>
      <c r="AA145" s="8"/>
    </row>
    <row r="146" spans="2:27" ht="14.25" thickTop="1" thickBot="1">
      <c r="B146" s="10"/>
      <c r="D146" s="66"/>
      <c r="E146" s="52" t="s">
        <v>346</v>
      </c>
      <c r="F146" s="7"/>
      <c r="G146" s="8"/>
      <c r="H146" s="7"/>
      <c r="I146" s="6"/>
      <c r="J146" s="7"/>
      <c r="K146" s="8"/>
      <c r="L146" s="7"/>
      <c r="M146" s="8"/>
      <c r="N146" s="7"/>
      <c r="O146" s="8"/>
      <c r="P146" s="7"/>
      <c r="Q146" s="7"/>
      <c r="R146" s="8"/>
      <c r="S146" s="7"/>
      <c r="T146" s="9"/>
      <c r="U146" s="7"/>
      <c r="V146" s="8"/>
      <c r="W146" s="7"/>
      <c r="X146" s="7"/>
      <c r="Y146" s="8"/>
      <c r="Z146" s="7"/>
      <c r="AA146" s="8"/>
    </row>
    <row r="147" spans="2:27" ht="14.25" thickTop="1" thickBot="1">
      <c r="B147" s="10"/>
      <c r="D147" s="66"/>
      <c r="E147" s="52" t="s">
        <v>675</v>
      </c>
      <c r="F147" s="7"/>
      <c r="G147" s="8"/>
      <c r="H147" s="7"/>
      <c r="I147" s="6"/>
      <c r="J147" s="7"/>
      <c r="K147" s="8"/>
      <c r="L147" s="7"/>
      <c r="M147" s="8"/>
      <c r="N147" s="7"/>
      <c r="O147" s="8"/>
      <c r="P147" s="7"/>
      <c r="Q147" s="7"/>
      <c r="R147" s="8"/>
      <c r="S147" s="7"/>
      <c r="T147" s="9"/>
      <c r="U147" s="7"/>
      <c r="V147" s="8"/>
      <c r="W147" s="7"/>
      <c r="X147" s="7"/>
      <c r="Y147" s="8"/>
      <c r="Z147" s="7"/>
      <c r="AA147" s="8"/>
    </row>
    <row r="148" spans="2:27" ht="14.25" thickTop="1" thickBot="1">
      <c r="B148" s="10"/>
      <c r="D148" s="66"/>
      <c r="E148" s="52" t="s">
        <v>566</v>
      </c>
      <c r="F148" s="7"/>
      <c r="G148" s="8"/>
      <c r="H148" s="7"/>
      <c r="I148" s="6"/>
      <c r="J148" s="7"/>
      <c r="K148" s="8"/>
      <c r="L148" s="7"/>
      <c r="M148" s="8"/>
      <c r="N148" s="7"/>
      <c r="O148" s="8"/>
      <c r="P148" s="7"/>
      <c r="Q148" s="7"/>
      <c r="R148" s="8"/>
      <c r="S148" s="7"/>
      <c r="T148" s="9"/>
      <c r="U148" s="7"/>
      <c r="V148" s="8"/>
      <c r="W148" s="7"/>
      <c r="X148" s="7"/>
      <c r="Y148" s="8"/>
      <c r="Z148" s="7"/>
      <c r="AA148" s="8"/>
    </row>
    <row r="149" spans="2:27" ht="14.25" thickTop="1" thickBot="1">
      <c r="B149" s="10"/>
      <c r="D149" s="66"/>
      <c r="E149" s="52" t="s">
        <v>348</v>
      </c>
      <c r="F149" s="7"/>
      <c r="G149" s="8"/>
      <c r="H149" s="7"/>
      <c r="I149" s="6"/>
      <c r="J149" s="7"/>
      <c r="K149" s="8"/>
      <c r="L149" s="7"/>
      <c r="M149" s="8"/>
      <c r="N149" s="7"/>
      <c r="O149" s="8"/>
      <c r="P149" s="7"/>
      <c r="Q149" s="7"/>
      <c r="R149" s="8"/>
      <c r="S149" s="7"/>
      <c r="T149" s="9"/>
      <c r="U149" s="7"/>
      <c r="V149" s="8"/>
      <c r="W149" s="7"/>
      <c r="X149" s="7"/>
      <c r="Y149" s="8"/>
      <c r="Z149" s="7"/>
      <c r="AA149" s="8"/>
    </row>
    <row r="150" spans="2:27" ht="14.25" thickTop="1" thickBot="1">
      <c r="B150" s="10"/>
      <c r="D150" s="66"/>
      <c r="E150" s="52" t="s">
        <v>594</v>
      </c>
      <c r="F150" s="7"/>
      <c r="G150" s="8"/>
      <c r="H150" s="7"/>
      <c r="I150" s="6"/>
      <c r="J150" s="7"/>
      <c r="K150" s="8"/>
      <c r="L150" s="7"/>
      <c r="M150" s="8"/>
      <c r="N150" s="7"/>
      <c r="O150" s="8"/>
      <c r="P150" s="7"/>
      <c r="Q150" s="7"/>
      <c r="R150" s="8"/>
      <c r="S150" s="7"/>
      <c r="T150" s="9"/>
      <c r="U150" s="7"/>
      <c r="V150" s="8"/>
      <c r="W150" s="7"/>
      <c r="X150" s="7"/>
      <c r="Y150" s="8"/>
      <c r="Z150" s="7"/>
      <c r="AA150" s="8"/>
    </row>
    <row r="151" spans="2:27" ht="14.25" thickTop="1" thickBot="1">
      <c r="B151" s="10"/>
      <c r="D151" s="66"/>
      <c r="E151" s="52" t="s">
        <v>941</v>
      </c>
      <c r="F151" s="7"/>
      <c r="G151" s="8"/>
      <c r="H151" s="7"/>
      <c r="I151" s="6"/>
      <c r="J151" s="7"/>
      <c r="K151" s="8"/>
      <c r="L151" s="7"/>
      <c r="M151" s="8"/>
      <c r="N151" s="7"/>
      <c r="O151" s="8"/>
      <c r="P151" s="7"/>
      <c r="Q151" s="7"/>
      <c r="R151" s="8"/>
      <c r="S151" s="7"/>
      <c r="T151" s="9"/>
      <c r="U151" s="7"/>
      <c r="V151" s="8"/>
      <c r="W151" s="7"/>
      <c r="X151" s="7"/>
      <c r="Y151" s="8"/>
      <c r="Z151" s="7"/>
      <c r="AA151" s="8"/>
    </row>
    <row r="152" spans="2:27" ht="14.25" thickTop="1" thickBot="1">
      <c r="B152" s="10"/>
      <c r="D152" s="66"/>
      <c r="E152" s="52" t="s">
        <v>957</v>
      </c>
      <c r="F152" s="7"/>
      <c r="G152" s="8"/>
      <c r="H152" s="7"/>
      <c r="I152" s="6"/>
      <c r="J152" s="7"/>
      <c r="K152" s="8"/>
      <c r="L152" s="7"/>
      <c r="M152" s="8"/>
      <c r="N152" s="7"/>
      <c r="O152" s="8"/>
      <c r="P152" s="7"/>
      <c r="Q152" s="7"/>
      <c r="R152" s="8"/>
      <c r="S152" s="7"/>
      <c r="T152" s="9"/>
      <c r="U152" s="7"/>
      <c r="V152" s="8"/>
      <c r="W152" s="7"/>
      <c r="X152" s="7"/>
      <c r="Y152" s="8"/>
      <c r="Z152" s="7"/>
      <c r="AA152" s="8"/>
    </row>
    <row r="153" spans="2:27" ht="14.25" thickTop="1" thickBot="1">
      <c r="B153" s="10"/>
      <c r="D153" s="66"/>
      <c r="E153" s="52" t="s">
        <v>958</v>
      </c>
      <c r="F153" s="7"/>
      <c r="G153" s="8"/>
      <c r="H153" s="7"/>
      <c r="I153" s="6"/>
      <c r="J153" s="7"/>
      <c r="K153" s="8"/>
      <c r="L153" s="7"/>
      <c r="M153" s="8"/>
      <c r="N153" s="7"/>
      <c r="O153" s="8"/>
      <c r="P153" s="7"/>
      <c r="Q153" s="7"/>
      <c r="R153" s="8"/>
      <c r="S153" s="7"/>
      <c r="T153" s="9"/>
      <c r="U153" s="7"/>
      <c r="V153" s="8"/>
      <c r="W153" s="7"/>
      <c r="X153" s="7"/>
      <c r="Y153" s="8"/>
      <c r="Z153" s="7"/>
      <c r="AA153" s="8"/>
    </row>
    <row r="154" spans="2:27" ht="14.25" thickTop="1" thickBot="1">
      <c r="B154" s="10"/>
      <c r="D154" s="66"/>
      <c r="E154" s="52" t="s">
        <v>959</v>
      </c>
      <c r="F154" s="7"/>
      <c r="G154" s="8"/>
      <c r="H154" s="7"/>
      <c r="I154" s="6"/>
      <c r="J154" s="7"/>
      <c r="K154" s="8"/>
      <c r="L154" s="7"/>
      <c r="M154" s="8"/>
      <c r="N154" s="7"/>
      <c r="O154" s="8"/>
      <c r="P154" s="7"/>
      <c r="Q154" s="7"/>
      <c r="R154" s="8"/>
      <c r="S154" s="7"/>
      <c r="T154" s="9"/>
      <c r="U154" s="7"/>
      <c r="V154" s="8"/>
      <c r="W154" s="7"/>
      <c r="X154" s="7"/>
      <c r="Y154" s="8"/>
      <c r="Z154" s="7"/>
      <c r="AA154" s="8"/>
    </row>
    <row r="155" spans="2:27" ht="14.25" thickTop="1" thickBot="1">
      <c r="B155" s="10"/>
      <c r="D155" s="66"/>
      <c r="E155" s="52" t="s">
        <v>349</v>
      </c>
      <c r="F155" s="7"/>
      <c r="G155" s="8"/>
      <c r="H155" s="7"/>
      <c r="I155" s="6"/>
      <c r="J155" s="7"/>
      <c r="K155" s="8"/>
      <c r="L155" s="7"/>
      <c r="M155" s="8"/>
      <c r="N155" s="7"/>
      <c r="O155" s="8"/>
      <c r="P155" s="7"/>
      <c r="Q155" s="7"/>
      <c r="R155" s="8"/>
      <c r="S155" s="7"/>
      <c r="T155" s="9"/>
      <c r="U155" s="7"/>
      <c r="V155" s="8"/>
      <c r="W155" s="7"/>
      <c r="X155" s="7"/>
      <c r="Y155" s="8"/>
      <c r="Z155" s="7"/>
      <c r="AA155" s="8"/>
    </row>
    <row r="156" spans="2:27" ht="14.25" thickTop="1" thickBot="1">
      <c r="B156" s="10"/>
      <c r="D156" s="66"/>
      <c r="E156" s="52" t="s">
        <v>351</v>
      </c>
      <c r="F156" s="7"/>
      <c r="G156" s="8"/>
      <c r="H156" s="7"/>
      <c r="I156" s="6"/>
      <c r="J156" s="7"/>
      <c r="K156" s="8"/>
      <c r="L156" s="7"/>
      <c r="M156" s="8"/>
      <c r="N156" s="7"/>
      <c r="O156" s="8"/>
      <c r="P156" s="7"/>
      <c r="Q156" s="7"/>
      <c r="R156" s="8"/>
      <c r="S156" s="7"/>
      <c r="T156" s="9"/>
      <c r="U156" s="7"/>
      <c r="V156" s="8"/>
      <c r="W156" s="7"/>
      <c r="X156" s="7"/>
      <c r="Y156" s="8"/>
      <c r="Z156" s="7"/>
      <c r="AA156" s="8"/>
    </row>
    <row r="157" spans="2:27" ht="14.25" thickTop="1" thickBot="1">
      <c r="B157" s="10"/>
      <c r="D157" s="66"/>
      <c r="E157" s="52" t="s">
        <v>355</v>
      </c>
      <c r="F157" s="7"/>
      <c r="G157" s="8"/>
      <c r="H157" s="7"/>
      <c r="I157" s="6"/>
      <c r="J157" s="7"/>
      <c r="K157" s="8"/>
      <c r="L157" s="7"/>
      <c r="M157" s="8"/>
      <c r="N157" s="7"/>
      <c r="O157" s="8"/>
      <c r="P157" s="7"/>
      <c r="Q157" s="7"/>
      <c r="R157" s="8"/>
      <c r="S157" s="7"/>
      <c r="T157" s="9"/>
      <c r="U157" s="7"/>
      <c r="V157" s="8"/>
      <c r="W157" s="7"/>
      <c r="X157" s="7"/>
      <c r="Y157" s="8"/>
      <c r="Z157" s="7"/>
      <c r="AA157" s="8"/>
    </row>
    <row r="158" spans="2:27" ht="14.25" thickTop="1" thickBot="1">
      <c r="B158" s="10"/>
      <c r="D158" s="66"/>
      <c r="E158" s="52" t="s">
        <v>1150</v>
      </c>
      <c r="F158" s="7"/>
      <c r="G158" s="8"/>
      <c r="H158" s="7"/>
      <c r="I158" s="6"/>
      <c r="J158" s="7"/>
      <c r="K158" s="8"/>
      <c r="L158" s="7"/>
      <c r="M158" s="8"/>
      <c r="N158" s="7"/>
      <c r="O158" s="8"/>
      <c r="P158" s="7"/>
      <c r="Q158" s="7"/>
      <c r="R158" s="8"/>
      <c r="S158" s="7"/>
      <c r="T158" s="9"/>
      <c r="U158" s="7"/>
      <c r="V158" s="8"/>
      <c r="W158" s="7"/>
      <c r="X158" s="7"/>
      <c r="Y158" s="8"/>
      <c r="Z158" s="7"/>
      <c r="AA158" s="8"/>
    </row>
    <row r="159" spans="2:27" ht="14.25" thickTop="1" thickBot="1">
      <c r="B159" s="10"/>
      <c r="D159" s="66"/>
      <c r="E159" s="52" t="s">
        <v>686</v>
      </c>
      <c r="F159" s="7"/>
      <c r="G159" s="8"/>
      <c r="H159" s="7"/>
      <c r="I159" s="6"/>
      <c r="J159" s="7"/>
      <c r="K159" s="8"/>
      <c r="L159" s="7"/>
      <c r="M159" s="8"/>
      <c r="N159" s="7"/>
      <c r="O159" s="8"/>
      <c r="P159" s="7"/>
      <c r="Q159" s="7"/>
      <c r="R159" s="8"/>
      <c r="S159" s="7"/>
      <c r="T159" s="9"/>
      <c r="U159" s="7"/>
      <c r="V159" s="8"/>
      <c r="W159" s="7"/>
      <c r="X159" s="7"/>
      <c r="Y159" s="8"/>
      <c r="Z159" s="7"/>
      <c r="AA159" s="8"/>
    </row>
    <row r="160" spans="2:27" ht="14.25" thickTop="1" thickBot="1">
      <c r="B160" s="10"/>
      <c r="D160" s="66"/>
      <c r="E160" s="52" t="s">
        <v>937</v>
      </c>
      <c r="F160" s="7"/>
      <c r="G160" s="8"/>
      <c r="H160" s="7"/>
      <c r="I160" s="6"/>
      <c r="J160" s="7"/>
      <c r="K160" s="8"/>
      <c r="L160" s="7"/>
      <c r="M160" s="8"/>
      <c r="N160" s="7"/>
      <c r="O160" s="8"/>
      <c r="P160" s="7"/>
      <c r="Q160" s="7"/>
      <c r="R160" s="8"/>
      <c r="S160" s="7"/>
      <c r="T160" s="9"/>
      <c r="U160" s="7"/>
      <c r="V160" s="8"/>
      <c r="W160" s="7"/>
      <c r="X160" s="7"/>
      <c r="Y160" s="8"/>
      <c r="Z160" s="7"/>
      <c r="AA160" s="8"/>
    </row>
    <row r="161" spans="2:27" ht="14.25" thickTop="1" thickBot="1">
      <c r="B161" s="10"/>
      <c r="D161" s="66"/>
      <c r="E161" s="52" t="s">
        <v>942</v>
      </c>
      <c r="F161" s="7"/>
      <c r="G161" s="8"/>
      <c r="H161" s="7"/>
      <c r="I161" s="6"/>
      <c r="J161" s="7"/>
      <c r="K161" s="8"/>
      <c r="L161" s="7"/>
      <c r="M161" s="8"/>
      <c r="N161" s="7"/>
      <c r="O161" s="8"/>
      <c r="P161" s="7"/>
      <c r="Q161" s="7"/>
      <c r="R161" s="8"/>
      <c r="S161" s="7"/>
      <c r="T161" s="9"/>
      <c r="U161" s="7"/>
      <c r="V161" s="8"/>
      <c r="W161" s="7"/>
      <c r="X161" s="7"/>
      <c r="Y161" s="8"/>
      <c r="Z161" s="7"/>
      <c r="AA161" s="8"/>
    </row>
    <row r="162" spans="2:27" ht="14.25" thickTop="1" thickBot="1">
      <c r="D162" s="66"/>
      <c r="E162" s="52" t="s">
        <v>356</v>
      </c>
      <c r="F162" s="7"/>
      <c r="G162" s="8"/>
      <c r="H162" s="7"/>
      <c r="I162" s="6"/>
      <c r="J162" s="7"/>
      <c r="K162" s="8"/>
      <c r="L162" s="7"/>
      <c r="M162" s="8"/>
      <c r="N162" s="7"/>
      <c r="O162" s="8"/>
      <c r="P162" s="7"/>
      <c r="Q162" s="7"/>
      <c r="R162" s="8"/>
      <c r="S162" s="7"/>
      <c r="T162" s="9"/>
      <c r="U162" s="7"/>
      <c r="V162" s="8"/>
      <c r="W162" s="7"/>
      <c r="X162" s="7"/>
      <c r="Y162" s="8"/>
      <c r="Z162" s="7"/>
      <c r="AA162" s="8"/>
    </row>
    <row r="163" spans="2:27" ht="14.25" thickTop="1" thickBot="1">
      <c r="D163" s="66"/>
      <c r="E163" s="52" t="s">
        <v>357</v>
      </c>
      <c r="F163" s="7"/>
      <c r="G163" s="8"/>
      <c r="H163" s="7"/>
      <c r="I163" s="6"/>
      <c r="J163" s="7"/>
      <c r="K163" s="8"/>
      <c r="L163" s="7"/>
      <c r="M163" s="8"/>
      <c r="N163" s="7"/>
      <c r="O163" s="8"/>
      <c r="P163" s="7"/>
      <c r="Q163" s="7"/>
      <c r="R163" s="8"/>
      <c r="S163" s="7"/>
      <c r="T163" s="9"/>
      <c r="U163" s="7"/>
      <c r="V163" s="8"/>
      <c r="W163" s="7"/>
      <c r="X163" s="7"/>
      <c r="Y163" s="8"/>
      <c r="Z163" s="7"/>
      <c r="AA163" s="8"/>
    </row>
    <row r="164" spans="2:27" ht="14.25" thickTop="1" thickBot="1">
      <c r="D164" s="66"/>
      <c r="E164" s="52" t="s">
        <v>567</v>
      </c>
      <c r="F164" s="7"/>
      <c r="G164" s="8"/>
      <c r="H164" s="7"/>
      <c r="I164" s="6"/>
      <c r="J164" s="7"/>
      <c r="K164" s="8"/>
      <c r="L164" s="7"/>
      <c r="M164" s="8"/>
      <c r="N164" s="7"/>
      <c r="O164" s="8"/>
      <c r="P164" s="7"/>
      <c r="Q164" s="7"/>
      <c r="R164" s="8"/>
      <c r="S164" s="7"/>
      <c r="T164" s="9"/>
      <c r="U164" s="7"/>
      <c r="V164" s="8"/>
      <c r="W164" s="7"/>
      <c r="X164" s="7"/>
      <c r="Y164" s="8"/>
      <c r="Z164" s="7"/>
      <c r="AA164" s="8"/>
    </row>
    <row r="165" spans="2:27" ht="14.25" thickTop="1" thickBot="1">
      <c r="D165" s="66"/>
      <c r="E165" s="52" t="s">
        <v>925</v>
      </c>
      <c r="F165" s="7"/>
      <c r="G165" s="8"/>
      <c r="H165" s="7"/>
      <c r="I165" s="6"/>
      <c r="J165" s="7"/>
      <c r="K165" s="8"/>
      <c r="L165" s="7"/>
      <c r="M165" s="8"/>
      <c r="N165" s="7"/>
      <c r="O165" s="8"/>
      <c r="P165" s="7"/>
      <c r="Q165" s="7"/>
      <c r="R165" s="8"/>
      <c r="S165" s="7"/>
      <c r="T165" s="9"/>
      <c r="U165" s="7"/>
      <c r="V165" s="8"/>
      <c r="W165" s="7"/>
      <c r="X165" s="7"/>
      <c r="Y165" s="8"/>
      <c r="Z165" s="7"/>
      <c r="AA165" s="8"/>
    </row>
    <row r="166" spans="2:27" ht="14.25" thickTop="1" thickBot="1">
      <c r="D166" s="66"/>
      <c r="E166" s="52" t="s">
        <v>912</v>
      </c>
      <c r="F166" s="7"/>
      <c r="G166" s="8"/>
      <c r="H166" s="7"/>
      <c r="I166" s="6"/>
      <c r="J166" s="7"/>
      <c r="K166" s="8"/>
      <c r="L166" s="7"/>
      <c r="M166" s="8"/>
      <c r="N166" s="7"/>
      <c r="O166" s="8"/>
      <c r="P166" s="7"/>
      <c r="Q166" s="7"/>
      <c r="R166" s="8"/>
      <c r="S166" s="7"/>
      <c r="T166" s="9"/>
      <c r="U166" s="7"/>
      <c r="V166" s="8"/>
      <c r="W166" s="7"/>
      <c r="X166" s="7"/>
      <c r="Y166" s="8"/>
      <c r="Z166" s="7"/>
      <c r="AA166" s="8"/>
    </row>
    <row r="167" spans="2:27" ht="14.25" thickTop="1" thickBot="1">
      <c r="D167" s="66"/>
      <c r="E167" s="52" t="s">
        <v>816</v>
      </c>
      <c r="F167" s="7"/>
      <c r="G167" s="8"/>
      <c r="H167" s="7"/>
      <c r="I167" s="6"/>
      <c r="J167" s="7"/>
      <c r="K167" s="8"/>
      <c r="L167" s="7"/>
      <c r="M167" s="8"/>
      <c r="N167" s="7"/>
      <c r="O167" s="8"/>
      <c r="P167" s="7"/>
      <c r="Q167" s="7"/>
      <c r="R167" s="8"/>
      <c r="S167" s="7"/>
      <c r="T167" s="9"/>
      <c r="U167" s="7"/>
      <c r="V167" s="8"/>
      <c r="W167" s="7"/>
      <c r="X167" s="7"/>
      <c r="Y167" s="8"/>
      <c r="Z167" s="7"/>
      <c r="AA167" s="8"/>
    </row>
    <row r="168" spans="2:27" ht="14.25" thickTop="1" thickBot="1">
      <c r="D168" s="66"/>
      <c r="E168" s="52" t="s">
        <v>817</v>
      </c>
      <c r="F168" s="7"/>
      <c r="G168" s="8"/>
      <c r="H168" s="7"/>
      <c r="I168" s="6"/>
      <c r="J168" s="7"/>
      <c r="K168" s="8"/>
      <c r="L168" s="7"/>
      <c r="M168" s="8"/>
      <c r="N168" s="7"/>
      <c r="O168" s="8"/>
      <c r="P168" s="7"/>
      <c r="Q168" s="7"/>
      <c r="R168" s="8"/>
      <c r="S168" s="7"/>
      <c r="T168" s="9"/>
      <c r="U168" s="7"/>
      <c r="V168" s="8"/>
      <c r="W168" s="7"/>
      <c r="X168" s="7"/>
      <c r="Y168" s="8"/>
      <c r="Z168" s="7"/>
      <c r="AA168" s="8"/>
    </row>
    <row r="169" spans="2:27" ht="14.25" thickTop="1" thickBot="1">
      <c r="D169" s="66"/>
      <c r="E169" s="52" t="s">
        <v>819</v>
      </c>
      <c r="F169" s="7"/>
      <c r="G169" s="8"/>
      <c r="H169" s="7"/>
      <c r="I169" s="6"/>
      <c r="J169" s="7"/>
      <c r="K169" s="8"/>
      <c r="L169" s="7"/>
      <c r="M169" s="8"/>
      <c r="N169" s="7"/>
      <c r="O169" s="8"/>
      <c r="P169" s="7"/>
      <c r="Q169" s="7"/>
      <c r="R169" s="8"/>
      <c r="S169" s="7"/>
      <c r="T169" s="9"/>
      <c r="U169" s="7"/>
      <c r="V169" s="8"/>
      <c r="W169" s="7"/>
      <c r="X169" s="7"/>
      <c r="Y169" s="8"/>
      <c r="Z169" s="7"/>
      <c r="AA169" s="8"/>
    </row>
    <row r="170" spans="2:27" ht="14.25" thickTop="1" thickBot="1">
      <c r="D170" s="66"/>
      <c r="E170" s="52" t="s">
        <v>834</v>
      </c>
      <c r="F170" s="7"/>
      <c r="G170" s="8"/>
      <c r="H170" s="7"/>
      <c r="I170" s="6"/>
      <c r="J170" s="7"/>
      <c r="K170" s="8"/>
      <c r="L170" s="7"/>
      <c r="M170" s="8"/>
      <c r="N170" s="7"/>
      <c r="O170" s="8"/>
      <c r="P170" s="7"/>
      <c r="Q170" s="7"/>
      <c r="R170" s="8"/>
      <c r="S170" s="7"/>
      <c r="T170" s="9"/>
      <c r="U170" s="7"/>
      <c r="V170" s="8"/>
      <c r="W170" s="7"/>
      <c r="X170" s="7"/>
      <c r="Y170" s="8"/>
      <c r="Z170" s="7"/>
      <c r="AA170" s="8"/>
    </row>
    <row r="171" spans="2:27" ht="14.25" thickTop="1" thickBot="1">
      <c r="D171" s="66"/>
      <c r="E171" s="52" t="s">
        <v>832</v>
      </c>
      <c r="F171" s="7"/>
      <c r="G171" s="8"/>
      <c r="H171" s="7"/>
      <c r="I171" s="6"/>
      <c r="J171" s="7"/>
      <c r="K171" s="8"/>
      <c r="L171" s="7"/>
      <c r="M171" s="8"/>
      <c r="N171" s="7"/>
      <c r="O171" s="8"/>
      <c r="P171" s="7"/>
      <c r="Q171" s="7"/>
      <c r="R171" s="8"/>
      <c r="S171" s="7"/>
      <c r="T171" s="9"/>
      <c r="U171" s="7"/>
      <c r="V171" s="8"/>
      <c r="W171" s="7"/>
      <c r="X171" s="7"/>
      <c r="Y171" s="8"/>
      <c r="Z171" s="7"/>
      <c r="AA171" s="8"/>
    </row>
    <row r="172" spans="2:27" ht="14.25" thickTop="1" thickBot="1">
      <c r="D172" s="66"/>
      <c r="E172" s="52" t="s">
        <v>405</v>
      </c>
      <c r="F172" s="7"/>
      <c r="G172" s="8"/>
      <c r="H172" s="7"/>
      <c r="I172" s="6"/>
      <c r="J172" s="7"/>
      <c r="K172" s="8"/>
      <c r="L172" s="7"/>
      <c r="M172" s="8"/>
      <c r="N172" s="7"/>
      <c r="O172" s="8"/>
      <c r="P172" s="7"/>
      <c r="Q172" s="7"/>
      <c r="R172" s="8"/>
      <c r="S172" s="7"/>
      <c r="T172" s="9"/>
      <c r="U172" s="7"/>
      <c r="V172" s="8"/>
      <c r="W172" s="7"/>
      <c r="X172" s="7"/>
      <c r="Y172" s="8"/>
      <c r="Z172" s="7"/>
      <c r="AA172" s="8"/>
    </row>
    <row r="173" spans="2:27" ht="14.25" thickTop="1" thickBot="1">
      <c r="D173" s="66"/>
      <c r="E173" s="52" t="s">
        <v>848</v>
      </c>
      <c r="F173" s="7"/>
      <c r="G173" s="8"/>
      <c r="H173" s="7"/>
      <c r="I173" s="6"/>
      <c r="J173" s="7"/>
      <c r="K173" s="8"/>
      <c r="L173" s="7"/>
      <c r="M173" s="8"/>
      <c r="N173" s="7"/>
      <c r="O173" s="8"/>
      <c r="P173" s="7"/>
      <c r="Q173" s="7"/>
      <c r="R173" s="8"/>
      <c r="S173" s="7"/>
      <c r="T173" s="9"/>
      <c r="U173" s="7"/>
      <c r="V173" s="8"/>
      <c r="W173" s="7"/>
      <c r="X173" s="7"/>
      <c r="Y173" s="8"/>
      <c r="Z173" s="7"/>
      <c r="AA173" s="8"/>
    </row>
    <row r="174" spans="2:27" ht="14.25" thickTop="1" thickBot="1">
      <c r="D174" s="66"/>
      <c r="E174" s="52" t="s">
        <v>815</v>
      </c>
      <c r="F174" s="7"/>
      <c r="G174" s="8"/>
      <c r="H174" s="7"/>
      <c r="I174" s="6"/>
      <c r="J174" s="7"/>
      <c r="K174" s="8"/>
      <c r="L174" s="7"/>
      <c r="M174" s="8"/>
      <c r="N174" s="7"/>
      <c r="O174" s="8"/>
      <c r="P174" s="7"/>
      <c r="Q174" s="7"/>
      <c r="R174" s="8"/>
      <c r="S174" s="7"/>
      <c r="T174" s="9"/>
      <c r="U174" s="7"/>
      <c r="V174" s="8"/>
      <c r="W174" s="7"/>
      <c r="X174" s="7"/>
      <c r="Y174" s="8"/>
      <c r="Z174" s="7"/>
      <c r="AA174" s="8"/>
    </row>
    <row r="175" spans="2:27" ht="14.25" thickTop="1" thickBot="1">
      <c r="D175" s="66"/>
      <c r="E175" s="52" t="s">
        <v>818</v>
      </c>
      <c r="F175" s="7"/>
      <c r="G175" s="8"/>
      <c r="H175" s="7"/>
      <c r="I175" s="6"/>
      <c r="J175" s="7"/>
      <c r="K175" s="8"/>
      <c r="L175" s="7"/>
      <c r="M175" s="8"/>
      <c r="N175" s="7"/>
      <c r="O175" s="8"/>
      <c r="P175" s="7"/>
      <c r="Q175" s="7"/>
      <c r="R175" s="8"/>
      <c r="S175" s="7"/>
      <c r="T175" s="9"/>
      <c r="U175" s="7"/>
      <c r="V175" s="8"/>
      <c r="W175" s="7"/>
      <c r="X175" s="7"/>
      <c r="Y175" s="8"/>
      <c r="Z175" s="7"/>
      <c r="AA175" s="8"/>
    </row>
    <row r="176" spans="2:27" ht="14.25" thickTop="1" thickBot="1">
      <c r="D176" s="66"/>
      <c r="E176" s="52" t="s">
        <v>820</v>
      </c>
      <c r="F176" s="7"/>
      <c r="G176" s="8"/>
      <c r="H176" s="7"/>
      <c r="I176" s="6"/>
      <c r="J176" s="7"/>
      <c r="K176" s="8"/>
      <c r="L176" s="7"/>
      <c r="M176" s="8"/>
      <c r="N176" s="7"/>
      <c r="O176" s="8"/>
      <c r="P176" s="7"/>
      <c r="Q176" s="7"/>
      <c r="R176" s="8"/>
      <c r="S176" s="7"/>
      <c r="T176" s="9"/>
      <c r="U176" s="7"/>
      <c r="V176" s="8"/>
      <c r="W176" s="7"/>
      <c r="X176" s="7"/>
      <c r="Y176" s="8"/>
      <c r="Z176" s="7"/>
      <c r="AA176" s="8"/>
    </row>
    <row r="177" spans="4:27" ht="14.25" thickTop="1" thickBot="1">
      <c r="D177" s="66"/>
      <c r="E177" s="52" t="s">
        <v>404</v>
      </c>
      <c r="F177" s="7"/>
      <c r="G177" s="8"/>
      <c r="H177" s="7"/>
      <c r="I177" s="6"/>
      <c r="J177" s="7"/>
      <c r="K177" s="8"/>
      <c r="L177" s="7"/>
      <c r="M177" s="8"/>
      <c r="N177" s="7"/>
      <c r="O177" s="8"/>
      <c r="P177" s="7"/>
      <c r="Q177" s="7"/>
      <c r="R177" s="8"/>
      <c r="S177" s="7"/>
      <c r="T177" s="9"/>
      <c r="U177" s="7"/>
      <c r="V177" s="8"/>
      <c r="W177" s="7"/>
      <c r="X177" s="7"/>
      <c r="Y177" s="8"/>
      <c r="Z177" s="7"/>
      <c r="AA177" s="8"/>
    </row>
    <row r="178" spans="4:27" ht="14.25" thickTop="1" thickBot="1">
      <c r="D178" s="66"/>
      <c r="E178" s="52" t="s">
        <v>825</v>
      </c>
      <c r="F178" s="7"/>
      <c r="G178" s="8"/>
      <c r="H178" s="7"/>
      <c r="I178" s="6"/>
      <c r="J178" s="7"/>
      <c r="K178" s="8"/>
      <c r="L178" s="7"/>
      <c r="M178" s="8"/>
      <c r="N178" s="7"/>
      <c r="O178" s="8"/>
      <c r="P178" s="7"/>
      <c r="Q178" s="7"/>
      <c r="R178" s="8"/>
      <c r="S178" s="7"/>
      <c r="T178" s="9"/>
      <c r="U178" s="7"/>
      <c r="V178" s="8"/>
      <c r="W178" s="7"/>
      <c r="X178" s="7"/>
      <c r="Y178" s="8"/>
      <c r="Z178" s="7"/>
      <c r="AA178" s="8"/>
    </row>
    <row r="179" spans="4:27" ht="14.25" thickTop="1" thickBot="1">
      <c r="D179" s="66"/>
      <c r="E179" s="52" t="s">
        <v>838</v>
      </c>
      <c r="F179" s="7"/>
      <c r="G179" s="8"/>
      <c r="H179" s="7"/>
      <c r="I179" s="6"/>
      <c r="J179" s="7"/>
      <c r="K179" s="8"/>
      <c r="L179" s="7"/>
      <c r="M179" s="8"/>
      <c r="N179" s="7"/>
      <c r="O179" s="8"/>
      <c r="P179" s="7"/>
      <c r="Q179" s="7"/>
      <c r="R179" s="8"/>
      <c r="S179" s="7"/>
      <c r="T179" s="9"/>
      <c r="U179" s="7"/>
      <c r="V179" s="8"/>
      <c r="W179" s="7"/>
      <c r="X179" s="7"/>
      <c r="Y179" s="8"/>
      <c r="Z179" s="7"/>
      <c r="AA179" s="8"/>
    </row>
    <row r="180" spans="4:27" ht="14.25" thickTop="1" thickBot="1">
      <c r="D180" s="66"/>
      <c r="E180" s="52" t="s">
        <v>833</v>
      </c>
      <c r="F180" s="7"/>
      <c r="G180" s="8"/>
      <c r="H180" s="7"/>
      <c r="I180" s="6"/>
      <c r="J180" s="7"/>
      <c r="K180" s="8"/>
      <c r="L180" s="7"/>
      <c r="M180" s="8"/>
      <c r="N180" s="7"/>
      <c r="O180" s="8"/>
      <c r="P180" s="7"/>
      <c r="Q180" s="7"/>
      <c r="R180" s="8"/>
      <c r="S180" s="7"/>
      <c r="T180" s="9"/>
      <c r="U180" s="7"/>
      <c r="V180" s="8"/>
      <c r="W180" s="7"/>
      <c r="X180" s="7"/>
      <c r="Y180" s="8"/>
      <c r="Z180" s="7"/>
      <c r="AA180" s="8"/>
    </row>
    <row r="181" spans="4:27" ht="14.25" thickTop="1" thickBot="1">
      <c r="D181" s="66"/>
      <c r="E181" s="52" t="s">
        <v>837</v>
      </c>
      <c r="F181" s="7"/>
      <c r="G181" s="8"/>
      <c r="H181" s="7"/>
      <c r="I181" s="6"/>
      <c r="J181" s="7"/>
      <c r="K181" s="8"/>
      <c r="L181" s="7"/>
      <c r="M181" s="8"/>
      <c r="N181" s="7"/>
      <c r="O181" s="8"/>
      <c r="P181" s="7"/>
      <c r="Q181" s="7"/>
      <c r="R181" s="8"/>
      <c r="S181" s="7"/>
      <c r="T181" s="9"/>
      <c r="U181" s="7"/>
      <c r="V181" s="8"/>
      <c r="W181" s="7"/>
      <c r="X181" s="7"/>
      <c r="Y181" s="8"/>
      <c r="Z181" s="7"/>
      <c r="AA181" s="8"/>
    </row>
    <row r="182" spans="4:27" ht="14.25" thickTop="1" thickBot="1">
      <c r="D182" s="66"/>
      <c r="E182" s="52" t="s">
        <v>861</v>
      </c>
      <c r="F182" s="7"/>
      <c r="G182" s="8"/>
      <c r="H182" s="7"/>
      <c r="I182" s="6"/>
      <c r="J182" s="7"/>
      <c r="K182" s="8"/>
      <c r="L182" s="7"/>
      <c r="M182" s="8"/>
      <c r="N182" s="7"/>
      <c r="O182" s="8"/>
      <c r="P182" s="7"/>
      <c r="Q182" s="7"/>
      <c r="R182" s="8"/>
      <c r="S182" s="7"/>
      <c r="T182" s="9"/>
      <c r="U182" s="7"/>
      <c r="V182" s="8"/>
      <c r="W182" s="7"/>
      <c r="X182" s="7"/>
      <c r="Y182" s="8"/>
      <c r="Z182" s="7"/>
      <c r="AA182" s="8"/>
    </row>
    <row r="183" spans="4:27" ht="14.25" thickTop="1" thickBot="1">
      <c r="D183" s="66"/>
      <c r="E183" s="52" t="s">
        <v>414</v>
      </c>
      <c r="F183" s="7"/>
      <c r="G183" s="8"/>
      <c r="H183" s="7"/>
      <c r="I183" s="6"/>
      <c r="J183" s="7"/>
      <c r="K183" s="8"/>
      <c r="L183" s="7"/>
      <c r="M183" s="8"/>
      <c r="N183" s="7"/>
      <c r="O183" s="8"/>
      <c r="P183" s="7"/>
      <c r="Q183" s="7"/>
      <c r="R183" s="8"/>
      <c r="S183" s="7"/>
      <c r="T183" s="9"/>
      <c r="U183" s="7"/>
      <c r="V183" s="8"/>
      <c r="W183" s="7"/>
      <c r="X183" s="7"/>
      <c r="Y183" s="8"/>
      <c r="Z183" s="7"/>
      <c r="AA183" s="8"/>
    </row>
    <row r="184" spans="4:27" ht="14.25" thickTop="1" thickBot="1">
      <c r="D184" s="66"/>
      <c r="E184" s="52" t="s">
        <v>410</v>
      </c>
      <c r="F184" s="7"/>
      <c r="G184" s="8"/>
      <c r="H184" s="7"/>
      <c r="I184" s="6"/>
      <c r="J184" s="7"/>
      <c r="K184" s="8"/>
      <c r="L184" s="7"/>
      <c r="M184" s="8"/>
      <c r="N184" s="7"/>
      <c r="O184" s="8"/>
      <c r="P184" s="7"/>
      <c r="Q184" s="7"/>
      <c r="R184" s="8"/>
      <c r="S184" s="7"/>
      <c r="T184" s="9"/>
      <c r="U184" s="7"/>
      <c r="V184" s="8"/>
      <c r="W184" s="7"/>
      <c r="X184" s="7"/>
      <c r="Y184" s="8"/>
      <c r="Z184" s="7"/>
      <c r="AA184" s="8"/>
    </row>
    <row r="185" spans="4:27" ht="14.25" thickTop="1" thickBot="1">
      <c r="D185" s="66"/>
      <c r="E185" s="52" t="s">
        <v>411</v>
      </c>
      <c r="F185" s="7"/>
      <c r="G185" s="8"/>
      <c r="H185" s="7"/>
      <c r="I185" s="6"/>
      <c r="J185" s="7"/>
      <c r="K185" s="8"/>
      <c r="L185" s="7"/>
      <c r="M185" s="8"/>
      <c r="N185" s="7"/>
      <c r="O185" s="8"/>
      <c r="P185" s="7"/>
      <c r="Q185" s="7"/>
      <c r="R185" s="8"/>
      <c r="S185" s="7"/>
      <c r="T185" s="9"/>
      <c r="U185" s="7"/>
      <c r="V185" s="8"/>
      <c r="W185" s="7"/>
      <c r="X185" s="7"/>
      <c r="Y185" s="8"/>
      <c r="Z185" s="7"/>
      <c r="AA185" s="8"/>
    </row>
    <row r="186" spans="4:27" ht="14.25" thickTop="1" thickBot="1">
      <c r="D186" s="66"/>
      <c r="E186" s="52" t="s">
        <v>828</v>
      </c>
      <c r="F186" s="7"/>
      <c r="G186" s="8"/>
      <c r="H186" s="7"/>
      <c r="I186" s="6"/>
      <c r="J186" s="7"/>
      <c r="K186" s="8"/>
      <c r="L186" s="7"/>
      <c r="M186" s="8"/>
      <c r="N186" s="7"/>
      <c r="O186" s="8"/>
      <c r="P186" s="7"/>
      <c r="Q186" s="7"/>
      <c r="R186" s="8"/>
      <c r="S186" s="7"/>
      <c r="T186" s="9"/>
      <c r="U186" s="7"/>
      <c r="V186" s="8"/>
      <c r="W186" s="7"/>
      <c r="X186" s="7"/>
      <c r="Y186" s="8"/>
      <c r="Z186" s="7"/>
      <c r="AA186" s="8"/>
    </row>
    <row r="187" spans="4:27" ht="14.25" thickTop="1" thickBot="1">
      <c r="D187" s="66"/>
      <c r="E187" s="52" t="s">
        <v>412</v>
      </c>
      <c r="F187" s="7"/>
      <c r="G187" s="8"/>
      <c r="H187" s="7"/>
      <c r="I187" s="6"/>
      <c r="J187" s="7"/>
      <c r="K187" s="8"/>
      <c r="L187" s="7"/>
      <c r="M187" s="8"/>
      <c r="N187" s="7"/>
      <c r="O187" s="8"/>
      <c r="P187" s="7"/>
      <c r="Q187" s="7"/>
      <c r="R187" s="8"/>
      <c r="S187" s="7"/>
      <c r="T187" s="9"/>
      <c r="U187" s="7"/>
      <c r="V187" s="8"/>
      <c r="W187" s="7"/>
      <c r="X187" s="7"/>
      <c r="Y187" s="8"/>
      <c r="Z187" s="7"/>
      <c r="AA187" s="8"/>
    </row>
    <row r="188" spans="4:27" ht="14.25" thickTop="1" thickBot="1">
      <c r="D188" s="66"/>
      <c r="E188" s="52" t="s">
        <v>409</v>
      </c>
      <c r="F188" s="7"/>
      <c r="G188" s="8"/>
      <c r="H188" s="7"/>
      <c r="I188" s="6"/>
      <c r="J188" s="7"/>
      <c r="K188" s="8"/>
      <c r="L188" s="7"/>
      <c r="M188" s="8"/>
      <c r="N188" s="7"/>
      <c r="O188" s="8"/>
      <c r="P188" s="7"/>
      <c r="Q188" s="7"/>
      <c r="R188" s="8"/>
      <c r="S188" s="7"/>
      <c r="T188" s="9"/>
      <c r="U188" s="7"/>
      <c r="V188" s="8"/>
      <c r="W188" s="7"/>
      <c r="X188" s="7"/>
      <c r="Y188" s="8"/>
      <c r="Z188" s="7"/>
      <c r="AA188" s="8"/>
    </row>
    <row r="189" spans="4:27" ht="14.25" thickTop="1" thickBot="1">
      <c r="D189" s="66"/>
      <c r="E189" s="52" t="s">
        <v>408</v>
      </c>
      <c r="F189" s="7"/>
      <c r="G189" s="8"/>
      <c r="H189" s="7"/>
      <c r="I189" s="6"/>
      <c r="J189" s="7"/>
      <c r="K189" s="8"/>
      <c r="L189" s="7"/>
      <c r="M189" s="8"/>
      <c r="N189" s="7"/>
      <c r="O189" s="8"/>
      <c r="P189" s="7"/>
      <c r="Q189" s="7"/>
      <c r="R189" s="8"/>
      <c r="S189" s="7"/>
      <c r="T189" s="9"/>
      <c r="U189" s="7"/>
      <c r="V189" s="8"/>
      <c r="W189" s="7"/>
      <c r="X189" s="7"/>
      <c r="Y189" s="8"/>
      <c r="Z189" s="7"/>
      <c r="AA189" s="8"/>
    </row>
    <row r="190" spans="4:27" ht="14.25" thickTop="1" thickBot="1">
      <c r="D190" s="66"/>
      <c r="E190" s="52" t="s">
        <v>407</v>
      </c>
      <c r="F190" s="7"/>
      <c r="G190" s="8"/>
      <c r="H190" s="7"/>
      <c r="I190" s="6"/>
      <c r="J190" s="7"/>
      <c r="K190" s="8"/>
      <c r="L190" s="7"/>
      <c r="M190" s="8"/>
      <c r="N190" s="7"/>
      <c r="O190" s="8"/>
      <c r="P190" s="7"/>
      <c r="Q190" s="7"/>
      <c r="R190" s="8"/>
      <c r="S190" s="7"/>
      <c r="T190" s="9"/>
      <c r="U190" s="7"/>
      <c r="V190" s="8"/>
      <c r="W190" s="7"/>
      <c r="X190" s="7"/>
      <c r="Y190" s="8"/>
      <c r="Z190" s="7"/>
      <c r="AA190" s="8"/>
    </row>
    <row r="191" spans="4:27" ht="14.25" thickTop="1" thickBot="1">
      <c r="D191" s="66"/>
      <c r="E191" s="52" t="s">
        <v>901</v>
      </c>
      <c r="F191" s="7"/>
      <c r="G191" s="8"/>
      <c r="H191" s="7"/>
      <c r="I191" s="6"/>
      <c r="J191" s="7"/>
      <c r="K191" s="8"/>
      <c r="L191" s="7"/>
      <c r="M191" s="8"/>
      <c r="N191" s="7"/>
      <c r="O191" s="8"/>
      <c r="P191" s="7"/>
      <c r="Q191" s="7"/>
      <c r="R191" s="8"/>
      <c r="S191" s="7"/>
      <c r="T191" s="9"/>
      <c r="U191" s="7"/>
      <c r="V191" s="8"/>
      <c r="W191" s="7"/>
      <c r="X191" s="7"/>
      <c r="Y191" s="8"/>
      <c r="Z191" s="7"/>
      <c r="AA191" s="8"/>
    </row>
    <row r="192" spans="4:27" ht="14.25" thickTop="1" thickBot="1">
      <c r="D192" s="66"/>
      <c r="E192" s="52" t="s">
        <v>916</v>
      </c>
      <c r="F192" s="7"/>
      <c r="G192" s="8"/>
      <c r="H192" s="7"/>
      <c r="I192" s="6"/>
      <c r="J192" s="7"/>
      <c r="K192" s="8"/>
      <c r="L192" s="7"/>
      <c r="M192" s="8"/>
      <c r="N192" s="7"/>
      <c r="O192" s="8"/>
      <c r="P192" s="7"/>
      <c r="Q192" s="7"/>
      <c r="R192" s="8"/>
      <c r="S192" s="7"/>
      <c r="T192" s="9"/>
      <c r="U192" s="7"/>
      <c r="V192" s="8"/>
      <c r="W192" s="7"/>
      <c r="X192" s="7"/>
      <c r="Y192" s="8"/>
      <c r="Z192" s="7"/>
      <c r="AA192" s="8"/>
    </row>
    <row r="193" spans="4:27" ht="14.25" thickTop="1" thickBot="1">
      <c r="D193" s="66"/>
      <c r="E193" s="52" t="s">
        <v>885</v>
      </c>
      <c r="F193" s="7"/>
      <c r="G193" s="8"/>
      <c r="H193" s="7"/>
      <c r="I193" s="6"/>
      <c r="J193" s="7"/>
      <c r="K193" s="8"/>
      <c r="L193" s="7"/>
      <c r="M193" s="8"/>
      <c r="N193" s="7"/>
      <c r="O193" s="8"/>
      <c r="P193" s="7"/>
      <c r="Q193" s="7"/>
      <c r="R193" s="8"/>
      <c r="S193" s="7"/>
      <c r="T193" s="9"/>
      <c r="U193" s="7"/>
      <c r="V193" s="8"/>
      <c r="W193" s="7"/>
      <c r="X193" s="7"/>
      <c r="Y193" s="8"/>
      <c r="Z193" s="7"/>
      <c r="AA193" s="8"/>
    </row>
    <row r="194" spans="4:27" ht="14.25" thickTop="1" thickBot="1">
      <c r="D194" s="66"/>
      <c r="E194" s="52" t="s">
        <v>918</v>
      </c>
      <c r="F194" s="7"/>
      <c r="G194" s="8"/>
      <c r="H194" s="7"/>
      <c r="I194" s="6"/>
      <c r="J194" s="7"/>
      <c r="K194" s="8"/>
      <c r="L194" s="7"/>
      <c r="M194" s="8"/>
      <c r="N194" s="7"/>
      <c r="O194" s="8"/>
      <c r="P194" s="7"/>
      <c r="Q194" s="7"/>
      <c r="R194" s="8"/>
      <c r="S194" s="7"/>
      <c r="T194" s="9"/>
      <c r="U194" s="7"/>
      <c r="V194" s="8"/>
      <c r="W194" s="7"/>
      <c r="X194" s="7"/>
      <c r="Y194" s="8"/>
      <c r="Z194" s="7"/>
      <c r="AA194" s="8"/>
    </row>
    <row r="195" spans="4:27" ht="14.25" thickTop="1" thickBot="1">
      <c r="D195" s="66"/>
      <c r="E195" s="52" t="s">
        <v>519</v>
      </c>
      <c r="F195" s="7"/>
      <c r="G195" s="8"/>
      <c r="H195" s="7"/>
      <c r="I195" s="6"/>
      <c r="J195" s="7"/>
      <c r="K195" s="8"/>
      <c r="L195" s="7"/>
      <c r="M195" s="8"/>
      <c r="N195" s="7"/>
      <c r="O195" s="8"/>
      <c r="P195" s="7"/>
      <c r="Q195" s="7"/>
      <c r="R195" s="8"/>
      <c r="S195" s="7"/>
      <c r="T195" s="9"/>
      <c r="U195" s="7"/>
      <c r="V195" s="8"/>
      <c r="W195" s="7"/>
      <c r="X195" s="7"/>
      <c r="Y195" s="8"/>
      <c r="Z195" s="7"/>
      <c r="AA195" s="8"/>
    </row>
    <row r="196" spans="4:27" ht="14.25" thickTop="1" thickBot="1">
      <c r="D196" s="66"/>
      <c r="E196" s="52" t="s">
        <v>882</v>
      </c>
      <c r="F196" s="7"/>
      <c r="G196" s="8"/>
      <c r="H196" s="7"/>
      <c r="I196" s="6"/>
      <c r="J196" s="7"/>
      <c r="K196" s="8"/>
      <c r="L196" s="7"/>
      <c r="M196" s="8"/>
      <c r="N196" s="7"/>
      <c r="O196" s="8"/>
      <c r="P196" s="7"/>
      <c r="Q196" s="7"/>
      <c r="R196" s="8"/>
      <c r="S196" s="7"/>
      <c r="T196" s="9"/>
      <c r="U196" s="7"/>
      <c r="V196" s="8"/>
      <c r="W196" s="7"/>
      <c r="X196" s="7"/>
      <c r="Y196" s="8"/>
      <c r="Z196" s="7"/>
      <c r="AA196" s="8"/>
    </row>
    <row r="197" spans="4:27" ht="14.25" thickTop="1" thickBot="1">
      <c r="D197" s="66"/>
      <c r="E197" s="52" t="s">
        <v>485</v>
      </c>
      <c r="F197" s="7"/>
      <c r="G197" s="8"/>
      <c r="H197" s="7"/>
      <c r="I197" s="6"/>
      <c r="J197" s="7"/>
      <c r="K197" s="8"/>
      <c r="L197" s="7"/>
      <c r="M197" s="8"/>
      <c r="N197" s="7"/>
      <c r="O197" s="8"/>
      <c r="P197" s="7"/>
      <c r="Q197" s="7"/>
      <c r="R197" s="8"/>
      <c r="S197" s="7"/>
      <c r="T197" s="9"/>
      <c r="U197" s="7"/>
      <c r="V197" s="8"/>
      <c r="W197" s="7"/>
      <c r="X197" s="7"/>
      <c r="Y197" s="8"/>
      <c r="Z197" s="7"/>
      <c r="AA197" s="8"/>
    </row>
    <row r="198" spans="4:27" ht="14.25" thickTop="1" thickBot="1">
      <c r="D198" s="66"/>
      <c r="E198" s="52" t="s">
        <v>881</v>
      </c>
      <c r="F198" s="7"/>
      <c r="G198" s="8"/>
      <c r="H198" s="7"/>
      <c r="I198" s="6"/>
      <c r="J198" s="7"/>
      <c r="K198" s="8"/>
      <c r="L198" s="7"/>
      <c r="M198" s="8"/>
      <c r="N198" s="7"/>
      <c r="O198" s="8"/>
      <c r="P198" s="7"/>
      <c r="Q198" s="7"/>
      <c r="R198" s="8"/>
      <c r="S198" s="7"/>
      <c r="T198" s="9"/>
      <c r="U198" s="7"/>
      <c r="V198" s="8"/>
      <c r="W198" s="7"/>
      <c r="X198" s="7"/>
      <c r="Y198" s="8"/>
      <c r="Z198" s="7"/>
      <c r="AA198" s="8"/>
    </row>
    <row r="199" spans="4:27" ht="14.25" thickTop="1" thickBot="1">
      <c r="D199" s="66"/>
      <c r="E199" s="52" t="s">
        <v>919</v>
      </c>
      <c r="F199" s="7"/>
      <c r="G199" s="8"/>
      <c r="H199" s="7"/>
      <c r="I199" s="6"/>
      <c r="J199" s="7"/>
      <c r="K199" s="8"/>
      <c r="L199" s="7"/>
      <c r="M199" s="8"/>
      <c r="N199" s="7"/>
      <c r="O199" s="8"/>
      <c r="P199" s="7"/>
      <c r="Q199" s="7"/>
      <c r="R199" s="8"/>
      <c r="S199" s="7"/>
      <c r="T199" s="9"/>
      <c r="U199" s="7"/>
      <c r="V199" s="8"/>
      <c r="W199" s="7"/>
      <c r="X199" s="7"/>
      <c r="Y199" s="8"/>
      <c r="Z199" s="7"/>
      <c r="AA199" s="8"/>
    </row>
    <row r="200" spans="4:27" ht="14.25" thickTop="1" thickBot="1">
      <c r="D200" s="66"/>
      <c r="E200" s="52" t="s">
        <v>511</v>
      </c>
      <c r="F200" s="7"/>
      <c r="G200" s="8"/>
      <c r="H200" s="7"/>
      <c r="I200" s="6"/>
      <c r="J200" s="7"/>
      <c r="K200" s="8"/>
      <c r="L200" s="7"/>
      <c r="M200" s="8"/>
      <c r="N200" s="7"/>
      <c r="O200" s="8"/>
      <c r="P200" s="7"/>
      <c r="Q200" s="7"/>
      <c r="R200" s="8"/>
      <c r="S200" s="7"/>
      <c r="T200" s="9"/>
      <c r="U200" s="7"/>
      <c r="V200" s="8"/>
      <c r="W200" s="7"/>
      <c r="X200" s="7"/>
      <c r="Y200" s="8"/>
      <c r="Z200" s="7"/>
      <c r="AA200" s="8"/>
    </row>
    <row r="201" spans="4:27" ht="14.25" thickTop="1" thickBot="1">
      <c r="D201" s="66"/>
      <c r="E201" s="52" t="s">
        <v>880</v>
      </c>
      <c r="F201" s="7"/>
      <c r="G201" s="8"/>
      <c r="H201" s="7"/>
      <c r="I201" s="6"/>
      <c r="J201" s="7"/>
      <c r="K201" s="8"/>
      <c r="L201" s="7"/>
      <c r="M201" s="8"/>
      <c r="N201" s="7"/>
      <c r="O201" s="8"/>
      <c r="P201" s="7"/>
      <c r="Q201" s="7"/>
      <c r="R201" s="8"/>
      <c r="S201" s="7"/>
      <c r="T201" s="9"/>
      <c r="U201" s="7"/>
      <c r="V201" s="8"/>
      <c r="W201" s="7"/>
      <c r="X201" s="7"/>
      <c r="Y201" s="8"/>
      <c r="Z201" s="7"/>
      <c r="AA201" s="8"/>
    </row>
    <row r="202" spans="4:27" ht="14.25" thickTop="1" thickBot="1">
      <c r="D202" s="66"/>
      <c r="E202" s="52" t="s">
        <v>457</v>
      </c>
      <c r="F202" s="7"/>
      <c r="G202" s="8"/>
      <c r="H202" s="7"/>
      <c r="I202" s="6"/>
      <c r="J202" s="7"/>
      <c r="K202" s="8"/>
      <c r="L202" s="7"/>
      <c r="M202" s="8"/>
      <c r="N202" s="7"/>
      <c r="O202" s="8"/>
      <c r="P202" s="7"/>
      <c r="Q202" s="7"/>
      <c r="R202" s="8"/>
      <c r="S202" s="7"/>
      <c r="T202" s="9"/>
      <c r="U202" s="7"/>
      <c r="V202" s="8"/>
      <c r="W202" s="7"/>
      <c r="X202" s="7"/>
      <c r="Y202" s="8"/>
      <c r="Z202" s="7"/>
      <c r="AA202" s="8"/>
    </row>
    <row r="203" spans="4:27" ht="14.25" thickTop="1" thickBot="1">
      <c r="D203" s="66"/>
      <c r="E203" s="52" t="s">
        <v>460</v>
      </c>
      <c r="F203" s="7"/>
      <c r="G203" s="8"/>
      <c r="H203" s="7"/>
      <c r="I203" s="6"/>
      <c r="J203" s="7"/>
      <c r="K203" s="8"/>
      <c r="L203" s="7"/>
      <c r="M203" s="8"/>
      <c r="N203" s="7"/>
      <c r="O203" s="8"/>
      <c r="P203" s="7"/>
      <c r="Q203" s="7"/>
      <c r="R203" s="8"/>
      <c r="S203" s="7"/>
      <c r="T203" s="9"/>
      <c r="U203" s="7"/>
      <c r="V203" s="8"/>
      <c r="W203" s="7"/>
      <c r="X203" s="7"/>
      <c r="Y203" s="8"/>
      <c r="Z203" s="7"/>
      <c r="AA203" s="8"/>
    </row>
    <row r="204" spans="4:27" ht="14.25" thickTop="1" thickBot="1">
      <c r="D204" s="66"/>
      <c r="E204" s="52" t="s">
        <v>491</v>
      </c>
      <c r="F204" s="7"/>
      <c r="G204" s="8"/>
      <c r="H204" s="7"/>
      <c r="I204" s="6"/>
      <c r="J204" s="7"/>
      <c r="K204" s="8"/>
      <c r="L204" s="7"/>
      <c r="M204" s="8"/>
      <c r="N204" s="7"/>
      <c r="O204" s="8"/>
      <c r="P204" s="7"/>
      <c r="Q204" s="7"/>
      <c r="R204" s="8"/>
      <c r="S204" s="7"/>
      <c r="T204" s="9"/>
      <c r="U204" s="7"/>
      <c r="V204" s="8"/>
      <c r="W204" s="7"/>
      <c r="X204" s="7"/>
      <c r="Y204" s="8"/>
      <c r="Z204" s="7"/>
      <c r="AA204" s="8"/>
    </row>
    <row r="205" spans="4:27" ht="14.25" thickTop="1" thickBot="1">
      <c r="D205" s="66"/>
      <c r="E205" s="52" t="s">
        <v>463</v>
      </c>
      <c r="F205" s="7"/>
      <c r="G205" s="8"/>
      <c r="H205" s="7"/>
      <c r="I205" s="6"/>
      <c r="J205" s="7"/>
      <c r="K205" s="8"/>
      <c r="L205" s="7"/>
      <c r="M205" s="8"/>
      <c r="N205" s="7"/>
      <c r="O205" s="8"/>
      <c r="P205" s="7"/>
      <c r="Q205" s="7"/>
      <c r="R205" s="8"/>
      <c r="S205" s="7"/>
      <c r="T205" s="9"/>
      <c r="U205" s="7"/>
      <c r="V205" s="8"/>
      <c r="W205" s="7"/>
      <c r="X205" s="7"/>
      <c r="Y205" s="8"/>
      <c r="Z205" s="7"/>
      <c r="AA205" s="8"/>
    </row>
    <row r="206" spans="4:27" ht="14.25" thickTop="1" thickBot="1">
      <c r="D206" s="66"/>
      <c r="E206" s="52" t="s">
        <v>490</v>
      </c>
      <c r="F206" s="7"/>
      <c r="G206" s="8"/>
      <c r="H206" s="7"/>
      <c r="I206" s="6"/>
      <c r="J206" s="7"/>
      <c r="K206" s="8"/>
      <c r="L206" s="7"/>
      <c r="M206" s="8"/>
      <c r="N206" s="7"/>
      <c r="O206" s="8"/>
      <c r="P206" s="7"/>
      <c r="Q206" s="7"/>
      <c r="R206" s="8"/>
      <c r="S206" s="7"/>
      <c r="T206" s="9"/>
      <c r="U206" s="7"/>
      <c r="V206" s="8"/>
      <c r="W206" s="7"/>
      <c r="X206" s="7"/>
      <c r="Y206" s="8"/>
      <c r="Z206" s="7"/>
      <c r="AA206" s="8"/>
    </row>
    <row r="207" spans="4:27" ht="14.25" thickTop="1" thickBot="1">
      <c r="D207" s="66"/>
      <c r="E207" s="52" t="s">
        <v>504</v>
      </c>
      <c r="F207" s="7"/>
      <c r="G207" s="8"/>
      <c r="H207" s="7"/>
      <c r="I207" s="6"/>
      <c r="J207" s="7"/>
      <c r="K207" s="8"/>
      <c r="L207" s="7"/>
      <c r="M207" s="8"/>
      <c r="N207" s="7"/>
      <c r="O207" s="8"/>
      <c r="P207" s="7"/>
      <c r="Q207" s="7"/>
      <c r="R207" s="8"/>
      <c r="S207" s="7"/>
      <c r="T207" s="9"/>
      <c r="U207" s="7"/>
      <c r="V207" s="8"/>
      <c r="W207" s="7"/>
      <c r="X207" s="7"/>
      <c r="Y207" s="8"/>
      <c r="Z207" s="7"/>
      <c r="AA207" s="8"/>
    </row>
    <row r="208" spans="4:27" ht="14.25" thickTop="1" thickBot="1">
      <c r="D208" s="66"/>
      <c r="E208" s="52" t="s">
        <v>472</v>
      </c>
      <c r="F208" s="7"/>
      <c r="G208" s="8"/>
      <c r="H208" s="7"/>
      <c r="I208" s="6"/>
      <c r="J208" s="7"/>
      <c r="K208" s="8"/>
      <c r="L208" s="7"/>
      <c r="M208" s="8"/>
      <c r="N208" s="7"/>
      <c r="O208" s="8"/>
      <c r="P208" s="7"/>
      <c r="Q208" s="7"/>
      <c r="R208" s="8"/>
      <c r="S208" s="7"/>
      <c r="T208" s="9"/>
      <c r="U208" s="7"/>
      <c r="V208" s="8"/>
      <c r="W208" s="7"/>
      <c r="X208" s="7"/>
      <c r="Y208" s="8"/>
      <c r="Z208" s="7"/>
      <c r="AA208" s="8"/>
    </row>
    <row r="209" spans="4:27" ht="14.25" thickTop="1" thickBot="1">
      <c r="D209" s="66"/>
      <c r="E209" s="52" t="s">
        <v>360</v>
      </c>
      <c r="F209" s="7"/>
      <c r="G209" s="8"/>
      <c r="H209" s="7"/>
      <c r="I209" s="6"/>
      <c r="J209" s="7"/>
      <c r="K209" s="8"/>
      <c r="L209" s="7"/>
      <c r="M209" s="8"/>
      <c r="N209" s="7"/>
      <c r="O209" s="8"/>
      <c r="P209" s="7"/>
      <c r="Q209" s="7"/>
      <c r="R209" s="8"/>
      <c r="S209" s="7"/>
      <c r="T209" s="9"/>
      <c r="U209" s="7"/>
      <c r="V209" s="8"/>
      <c r="W209" s="7"/>
      <c r="X209" s="7"/>
      <c r="Y209" s="8"/>
      <c r="Z209" s="7"/>
      <c r="AA209" s="8"/>
    </row>
    <row r="210" spans="4:27" ht="14.25" thickTop="1" thickBot="1">
      <c r="D210" s="66"/>
      <c r="E210" s="52" t="s">
        <v>499</v>
      </c>
      <c r="F210" s="7"/>
      <c r="G210" s="8"/>
      <c r="H210" s="7"/>
      <c r="I210" s="6"/>
      <c r="J210" s="7"/>
      <c r="K210" s="8"/>
      <c r="L210" s="7"/>
      <c r="M210" s="8"/>
      <c r="N210" s="7"/>
      <c r="O210" s="8"/>
      <c r="P210" s="7"/>
      <c r="Q210" s="7"/>
      <c r="R210" s="8"/>
      <c r="S210" s="7"/>
      <c r="T210" s="9"/>
      <c r="U210" s="7"/>
      <c r="V210" s="8"/>
      <c r="W210" s="7"/>
      <c r="X210" s="7"/>
      <c r="Y210" s="8"/>
      <c r="Z210" s="7"/>
      <c r="AA210" s="8"/>
    </row>
    <row r="211" spans="4:27" ht="14.25" thickTop="1" thickBot="1">
      <c r="D211" s="66"/>
      <c r="E211" s="52" t="s">
        <v>505</v>
      </c>
      <c r="F211" s="7"/>
      <c r="G211" s="8"/>
      <c r="H211" s="7"/>
      <c r="I211" s="6"/>
      <c r="J211" s="7"/>
      <c r="K211" s="8"/>
      <c r="L211" s="7"/>
      <c r="M211" s="8"/>
      <c r="N211" s="7"/>
      <c r="O211" s="8"/>
      <c r="P211" s="7"/>
      <c r="Q211" s="7"/>
      <c r="R211" s="8"/>
      <c r="S211" s="7"/>
      <c r="T211" s="9"/>
      <c r="U211" s="7"/>
      <c r="V211" s="8"/>
      <c r="W211" s="7"/>
      <c r="X211" s="7"/>
      <c r="Y211" s="8"/>
      <c r="Z211" s="7"/>
      <c r="AA211" s="8"/>
    </row>
    <row r="212" spans="4:27" ht="14.25" thickTop="1" thickBot="1">
      <c r="D212" s="66"/>
      <c r="E212" s="52" t="s">
        <v>470</v>
      </c>
      <c r="F212" s="7"/>
      <c r="G212" s="8"/>
      <c r="H212" s="7"/>
      <c r="I212" s="6"/>
      <c r="J212" s="7"/>
      <c r="K212" s="8"/>
      <c r="L212" s="7"/>
      <c r="M212" s="8"/>
      <c r="N212" s="7"/>
      <c r="O212" s="8"/>
      <c r="P212" s="7"/>
      <c r="Q212" s="7"/>
      <c r="R212" s="8"/>
      <c r="S212" s="7"/>
      <c r="T212" s="9"/>
      <c r="U212" s="7"/>
      <c r="V212" s="8"/>
      <c r="W212" s="7"/>
      <c r="X212" s="7"/>
      <c r="Y212" s="8"/>
      <c r="Z212" s="7"/>
      <c r="AA212" s="8"/>
    </row>
    <row r="213" spans="4:27" ht="14.25" thickTop="1" thickBot="1">
      <c r="D213" s="66"/>
      <c r="E213" s="52" t="s">
        <v>907</v>
      </c>
      <c r="F213" s="7"/>
      <c r="G213" s="8"/>
      <c r="H213" s="7"/>
      <c r="I213" s="6"/>
      <c r="J213" s="7"/>
      <c r="K213" s="8"/>
      <c r="L213" s="7"/>
      <c r="M213" s="8"/>
      <c r="N213" s="7"/>
      <c r="O213" s="8"/>
      <c r="P213" s="7"/>
      <c r="Q213" s="7"/>
      <c r="R213" s="8"/>
      <c r="S213" s="7"/>
      <c r="T213" s="9"/>
      <c r="U213" s="7"/>
      <c r="V213" s="8"/>
      <c r="W213" s="7"/>
      <c r="X213" s="7"/>
      <c r="Y213" s="8"/>
      <c r="Z213" s="7"/>
      <c r="AA213" s="8"/>
    </row>
    <row r="214" spans="4:27" ht="14.25" thickTop="1" thickBot="1">
      <c r="D214" s="66"/>
      <c r="E214" s="52" t="s">
        <v>1092</v>
      </c>
      <c r="F214" s="7"/>
      <c r="G214" s="8"/>
      <c r="H214" s="7"/>
      <c r="I214" s="6"/>
      <c r="J214" s="7"/>
      <c r="K214" s="8"/>
      <c r="L214" s="7"/>
      <c r="M214" s="8"/>
      <c r="N214" s="7"/>
      <c r="O214" s="8"/>
      <c r="P214" s="7"/>
      <c r="Q214" s="7"/>
      <c r="R214" s="8"/>
      <c r="S214" s="7"/>
      <c r="T214" s="9"/>
      <c r="U214" s="7"/>
      <c r="V214" s="8"/>
      <c r="W214" s="7"/>
      <c r="X214" s="7"/>
      <c r="Y214" s="8"/>
      <c r="Z214" s="7"/>
      <c r="AA214" s="8"/>
    </row>
    <row r="215" spans="4:27" ht="14.25" thickTop="1" thickBot="1">
      <c r="D215" s="66"/>
      <c r="E215" s="52" t="s">
        <v>498</v>
      </c>
      <c r="F215" s="7"/>
      <c r="G215" s="8"/>
      <c r="H215" s="7"/>
      <c r="I215" s="6"/>
      <c r="J215" s="7"/>
      <c r="K215" s="8"/>
      <c r="L215" s="7"/>
      <c r="M215" s="8"/>
      <c r="N215" s="7"/>
      <c r="O215" s="8"/>
      <c r="P215" s="7"/>
      <c r="Q215" s="7"/>
      <c r="R215" s="8"/>
      <c r="S215" s="7"/>
      <c r="T215" s="9"/>
      <c r="U215" s="7"/>
      <c r="V215" s="8"/>
      <c r="W215" s="7"/>
      <c r="X215" s="7"/>
      <c r="Y215" s="8"/>
      <c r="Z215" s="7"/>
      <c r="AA215" s="8"/>
    </row>
    <row r="216" spans="4:27" ht="14.25" thickTop="1" thickBot="1">
      <c r="D216" s="66"/>
      <c r="E216" s="52" t="s">
        <v>471</v>
      </c>
      <c r="F216" s="7"/>
      <c r="G216" s="8"/>
      <c r="H216" s="7"/>
      <c r="I216" s="6"/>
      <c r="J216" s="7"/>
      <c r="K216" s="8"/>
      <c r="L216" s="7"/>
      <c r="M216" s="8"/>
      <c r="N216" s="7"/>
      <c r="O216" s="8"/>
      <c r="P216" s="7"/>
      <c r="Q216" s="7"/>
      <c r="R216" s="8"/>
      <c r="S216" s="7"/>
      <c r="T216" s="9"/>
      <c r="U216" s="7"/>
      <c r="V216" s="8"/>
      <c r="W216" s="7"/>
      <c r="X216" s="7"/>
      <c r="Y216" s="8"/>
      <c r="Z216" s="7"/>
      <c r="AA216" s="8"/>
    </row>
    <row r="217" spans="4:27" ht="14.25" thickTop="1" thickBot="1">
      <c r="D217" s="66"/>
      <c r="E217" s="52" t="s">
        <v>507</v>
      </c>
      <c r="F217" s="7"/>
      <c r="G217" s="8"/>
      <c r="H217" s="7"/>
      <c r="I217" s="6"/>
      <c r="J217" s="7"/>
      <c r="K217" s="8"/>
      <c r="L217" s="7"/>
      <c r="M217" s="8"/>
      <c r="N217" s="7"/>
      <c r="O217" s="8"/>
      <c r="P217" s="7"/>
      <c r="Q217" s="7"/>
      <c r="R217" s="8"/>
      <c r="S217" s="7"/>
      <c r="T217" s="9"/>
      <c r="U217" s="7"/>
      <c r="V217" s="8"/>
      <c r="W217" s="7"/>
      <c r="X217" s="7"/>
      <c r="Y217" s="8"/>
      <c r="Z217" s="7"/>
      <c r="AA217" s="8"/>
    </row>
    <row r="218" spans="4:27" ht="14.25" thickTop="1" thickBot="1">
      <c r="D218" s="66"/>
      <c r="E218" s="52" t="s">
        <v>506</v>
      </c>
      <c r="F218" s="7"/>
      <c r="G218" s="8"/>
      <c r="H218" s="7"/>
      <c r="I218" s="6"/>
      <c r="J218" s="7"/>
      <c r="K218" s="8"/>
      <c r="L218" s="7"/>
      <c r="M218" s="8"/>
      <c r="N218" s="7"/>
      <c r="O218" s="8"/>
      <c r="P218" s="7"/>
      <c r="Q218" s="7"/>
      <c r="R218" s="8"/>
      <c r="S218" s="7"/>
      <c r="T218" s="9"/>
      <c r="U218" s="7"/>
      <c r="V218" s="8"/>
      <c r="W218" s="7"/>
      <c r="X218" s="7"/>
      <c r="Y218" s="8"/>
      <c r="Z218" s="7"/>
      <c r="AA218" s="8"/>
    </row>
    <row r="219" spans="4:27" ht="14.25" thickTop="1" thickBot="1">
      <c r="D219" s="66"/>
      <c r="E219" s="52" t="s">
        <v>913</v>
      </c>
      <c r="F219" s="7"/>
      <c r="G219" s="8"/>
      <c r="H219" s="7"/>
      <c r="I219" s="6"/>
      <c r="J219" s="7"/>
      <c r="K219" s="8"/>
      <c r="L219" s="7"/>
      <c r="M219" s="8"/>
      <c r="N219" s="7"/>
      <c r="O219" s="8"/>
      <c r="P219" s="7"/>
      <c r="Q219" s="7"/>
      <c r="R219" s="8"/>
      <c r="S219" s="7"/>
      <c r="T219" s="9"/>
      <c r="U219" s="7"/>
      <c r="V219" s="8"/>
      <c r="W219" s="7"/>
      <c r="X219" s="7"/>
      <c r="Y219" s="8"/>
      <c r="Z219" s="7"/>
      <c r="AA219" s="8"/>
    </row>
    <row r="220" spans="4:27" ht="14.25" thickTop="1" thickBot="1">
      <c r="D220" s="66"/>
      <c r="E220" s="52" t="s">
        <v>473</v>
      </c>
      <c r="F220" s="7"/>
      <c r="G220" s="8"/>
      <c r="H220" s="7"/>
      <c r="I220" s="6"/>
      <c r="J220" s="7"/>
      <c r="K220" s="8"/>
      <c r="L220" s="7"/>
      <c r="M220" s="8"/>
      <c r="N220" s="7"/>
      <c r="O220" s="8"/>
      <c r="P220" s="7"/>
      <c r="Q220" s="7"/>
      <c r="R220" s="8"/>
      <c r="S220" s="7"/>
      <c r="T220" s="9"/>
      <c r="U220" s="7"/>
      <c r="V220" s="8"/>
      <c r="W220" s="7"/>
      <c r="X220" s="7"/>
      <c r="Y220" s="8"/>
      <c r="Z220" s="7"/>
      <c r="AA220" s="8"/>
    </row>
    <row r="221" spans="4:27" ht="14.25" thickTop="1" thickBot="1">
      <c r="D221" s="66"/>
      <c r="E221" s="52" t="s">
        <v>906</v>
      </c>
      <c r="F221" s="7"/>
      <c r="G221" s="8"/>
      <c r="H221" s="7"/>
      <c r="I221" s="6"/>
      <c r="J221" s="7"/>
      <c r="K221" s="8"/>
      <c r="L221" s="7"/>
      <c r="M221" s="8"/>
      <c r="N221" s="7"/>
      <c r="O221" s="8"/>
      <c r="P221" s="7"/>
      <c r="Q221" s="7"/>
      <c r="R221" s="8"/>
      <c r="S221" s="7"/>
      <c r="T221" s="9"/>
      <c r="U221" s="7"/>
      <c r="V221" s="8"/>
      <c r="W221" s="7"/>
      <c r="X221" s="7"/>
      <c r="Y221" s="8"/>
      <c r="Z221" s="7"/>
      <c r="AA221" s="8"/>
    </row>
    <row r="222" spans="4:27" ht="14.25" thickTop="1" thickBot="1">
      <c r="D222" s="66"/>
      <c r="E222" s="52" t="s">
        <v>508</v>
      </c>
      <c r="F222" s="7"/>
      <c r="G222" s="8"/>
      <c r="H222" s="7"/>
      <c r="I222" s="6"/>
      <c r="J222" s="7"/>
      <c r="K222" s="8"/>
      <c r="L222" s="7"/>
      <c r="M222" s="8"/>
      <c r="N222" s="7"/>
      <c r="O222" s="8"/>
      <c r="P222" s="7"/>
      <c r="Q222" s="7"/>
      <c r="R222" s="8"/>
      <c r="S222" s="7"/>
      <c r="T222" s="9"/>
      <c r="U222" s="7"/>
      <c r="V222" s="8"/>
      <c r="W222" s="7"/>
      <c r="X222" s="7"/>
      <c r="Y222" s="8"/>
      <c r="Z222" s="7"/>
      <c r="AA222" s="8"/>
    </row>
    <row r="223" spans="4:27" ht="14.25" thickTop="1" thickBot="1">
      <c r="D223" s="66"/>
      <c r="E223" s="52" t="s">
        <v>492</v>
      </c>
      <c r="F223" s="7"/>
      <c r="G223" s="8"/>
      <c r="H223" s="7"/>
      <c r="I223" s="6"/>
      <c r="J223" s="7"/>
      <c r="K223" s="8"/>
      <c r="L223" s="7"/>
      <c r="M223" s="8"/>
      <c r="N223" s="7"/>
      <c r="O223" s="8"/>
      <c r="P223" s="7"/>
      <c r="Q223" s="7"/>
      <c r="R223" s="8"/>
      <c r="S223" s="7"/>
      <c r="T223" s="9"/>
      <c r="U223" s="7"/>
      <c r="V223" s="8"/>
      <c r="W223" s="7"/>
      <c r="X223" s="7"/>
      <c r="Y223" s="8"/>
      <c r="Z223" s="7"/>
      <c r="AA223" s="8"/>
    </row>
    <row r="224" spans="4:27" ht="14.25" thickTop="1" thickBot="1">
      <c r="D224" s="66"/>
      <c r="E224" s="52" t="s">
        <v>501</v>
      </c>
      <c r="F224" s="7"/>
      <c r="G224" s="8"/>
      <c r="H224" s="7"/>
      <c r="I224" s="6"/>
      <c r="J224" s="7"/>
      <c r="K224" s="8"/>
      <c r="L224" s="7"/>
      <c r="M224" s="8"/>
      <c r="N224" s="7"/>
      <c r="O224" s="8"/>
      <c r="P224" s="7"/>
      <c r="Q224" s="7"/>
      <c r="R224" s="8"/>
      <c r="S224" s="7"/>
      <c r="T224" s="9"/>
      <c r="U224" s="7"/>
      <c r="V224" s="8"/>
      <c r="W224" s="7"/>
      <c r="X224" s="7"/>
      <c r="Y224" s="8"/>
      <c r="Z224" s="7"/>
      <c r="AA224" s="8"/>
    </row>
    <row r="225" spans="4:27" ht="14.25" thickTop="1" thickBot="1">
      <c r="D225" s="66"/>
      <c r="E225" s="52" t="s">
        <v>884</v>
      </c>
      <c r="F225" s="7"/>
      <c r="G225" s="8"/>
      <c r="H225" s="7"/>
      <c r="I225" s="6"/>
      <c r="J225" s="7"/>
      <c r="K225" s="8"/>
      <c r="L225" s="7"/>
      <c r="M225" s="8"/>
      <c r="N225" s="7"/>
      <c r="O225" s="8"/>
      <c r="P225" s="7"/>
      <c r="Q225" s="7"/>
      <c r="R225" s="8"/>
      <c r="S225" s="7"/>
      <c r="T225" s="9"/>
      <c r="U225" s="7"/>
      <c r="V225" s="8"/>
      <c r="W225" s="7"/>
      <c r="X225" s="7"/>
      <c r="Y225" s="8"/>
      <c r="Z225" s="7"/>
      <c r="AA225" s="8"/>
    </row>
    <row r="226" spans="4:27" ht="14.25" thickTop="1" thickBot="1">
      <c r="D226" s="66"/>
      <c r="E226" s="52" t="s">
        <v>479</v>
      </c>
      <c r="F226" s="7"/>
      <c r="G226" s="8"/>
      <c r="H226" s="7"/>
      <c r="I226" s="6"/>
      <c r="J226" s="7"/>
      <c r="K226" s="8"/>
      <c r="L226" s="7"/>
      <c r="M226" s="8"/>
      <c r="N226" s="7"/>
      <c r="O226" s="8"/>
      <c r="P226" s="7"/>
      <c r="Q226" s="7"/>
      <c r="R226" s="8"/>
      <c r="S226" s="7"/>
      <c r="T226" s="9"/>
      <c r="U226" s="7"/>
      <c r="V226" s="8"/>
      <c r="W226" s="7"/>
      <c r="X226" s="7"/>
      <c r="Y226" s="8"/>
      <c r="Z226" s="7"/>
      <c r="AA226" s="8"/>
    </row>
    <row r="227" spans="4:27" ht="14.25" thickTop="1" thickBot="1">
      <c r="D227" s="66"/>
      <c r="E227" s="52" t="s">
        <v>911</v>
      </c>
      <c r="F227" s="7"/>
      <c r="G227" s="8"/>
      <c r="H227" s="7"/>
      <c r="I227" s="6"/>
      <c r="J227" s="7"/>
      <c r="K227" s="8"/>
      <c r="L227" s="7"/>
      <c r="M227" s="8"/>
      <c r="N227" s="7"/>
      <c r="O227" s="8"/>
      <c r="P227" s="7"/>
      <c r="Q227" s="7"/>
      <c r="R227" s="8"/>
      <c r="S227" s="7"/>
      <c r="T227" s="9"/>
      <c r="U227" s="7"/>
      <c r="V227" s="8"/>
      <c r="W227" s="7"/>
      <c r="X227" s="7"/>
      <c r="Y227" s="8"/>
      <c r="Z227" s="7"/>
      <c r="AA227" s="8"/>
    </row>
    <row r="228" spans="4:27" ht="14.25" thickTop="1" thickBot="1">
      <c r="D228" s="66"/>
      <c r="E228" s="52" t="s">
        <v>493</v>
      </c>
      <c r="F228" s="7"/>
      <c r="G228" s="8"/>
      <c r="H228" s="7"/>
      <c r="I228" s="6"/>
      <c r="J228" s="7"/>
      <c r="K228" s="8"/>
      <c r="L228" s="7"/>
      <c r="M228" s="8"/>
      <c r="N228" s="7"/>
      <c r="O228" s="8"/>
      <c r="P228" s="7"/>
      <c r="Q228" s="7"/>
      <c r="R228" s="8"/>
      <c r="S228" s="7"/>
      <c r="T228" s="9"/>
      <c r="U228" s="7"/>
      <c r="V228" s="8"/>
      <c r="W228" s="7"/>
      <c r="X228" s="7"/>
      <c r="Y228" s="8"/>
      <c r="Z228" s="7"/>
      <c r="AA228" s="8"/>
    </row>
    <row r="229" spans="4:27" ht="14.25" thickTop="1" thickBot="1">
      <c r="D229" s="66"/>
      <c r="E229" s="52" t="s">
        <v>497</v>
      </c>
      <c r="F229" s="7"/>
      <c r="G229" s="8"/>
      <c r="H229" s="7"/>
      <c r="I229" s="6"/>
      <c r="J229" s="7"/>
      <c r="K229" s="8"/>
      <c r="L229" s="7"/>
      <c r="M229" s="8"/>
      <c r="N229" s="7"/>
      <c r="O229" s="8"/>
      <c r="P229" s="7"/>
      <c r="Q229" s="7"/>
      <c r="R229" s="8"/>
      <c r="S229" s="7"/>
      <c r="T229" s="9"/>
      <c r="U229" s="7"/>
      <c r="V229" s="8"/>
      <c r="W229" s="7"/>
      <c r="X229" s="7"/>
      <c r="Y229" s="8"/>
      <c r="Z229" s="7"/>
      <c r="AA229" s="8"/>
    </row>
    <row r="230" spans="4:27" ht="14.25" thickTop="1" thickBot="1">
      <c r="D230" s="66"/>
      <c r="E230" s="52" t="s">
        <v>525</v>
      </c>
      <c r="F230" s="7"/>
      <c r="G230" s="8"/>
      <c r="H230" s="7"/>
      <c r="I230" s="6"/>
      <c r="J230" s="7"/>
      <c r="K230" s="8"/>
      <c r="L230" s="7"/>
      <c r="M230" s="8"/>
      <c r="N230" s="7"/>
      <c r="O230" s="8"/>
      <c r="P230" s="7"/>
      <c r="Q230" s="7"/>
      <c r="R230" s="8"/>
      <c r="S230" s="7"/>
      <c r="T230" s="9"/>
      <c r="U230" s="7"/>
      <c r="V230" s="8"/>
      <c r="W230" s="7"/>
      <c r="X230" s="7"/>
      <c r="Y230" s="8"/>
      <c r="Z230" s="7"/>
      <c r="AA230" s="8"/>
    </row>
    <row r="231" spans="4:27" ht="14.25" thickTop="1" thickBot="1">
      <c r="D231" s="66"/>
      <c r="E231" s="52" t="s">
        <v>510</v>
      </c>
      <c r="F231" s="7"/>
      <c r="G231" s="8"/>
      <c r="H231" s="7"/>
      <c r="I231" s="6"/>
      <c r="J231" s="7"/>
      <c r="K231" s="8"/>
      <c r="L231" s="7"/>
      <c r="M231" s="8"/>
      <c r="N231" s="7"/>
      <c r="O231" s="8"/>
      <c r="P231" s="7"/>
      <c r="Q231" s="7"/>
      <c r="R231" s="8"/>
      <c r="S231" s="7"/>
      <c r="T231" s="9"/>
      <c r="U231" s="7"/>
      <c r="V231" s="8"/>
      <c r="W231" s="7"/>
      <c r="X231" s="7"/>
      <c r="Y231" s="8"/>
      <c r="Z231" s="7"/>
      <c r="AA231" s="8"/>
    </row>
    <row r="232" spans="4:27" ht="14.25" thickTop="1" thickBot="1">
      <c r="D232" s="66"/>
      <c r="E232" s="52" t="s">
        <v>914</v>
      </c>
      <c r="F232" s="7"/>
      <c r="G232" s="8"/>
      <c r="H232" s="7"/>
      <c r="I232" s="6"/>
      <c r="J232" s="7"/>
      <c r="K232" s="8"/>
      <c r="L232" s="7"/>
      <c r="M232" s="8"/>
      <c r="N232" s="7"/>
      <c r="O232" s="8"/>
      <c r="P232" s="7"/>
      <c r="Q232" s="7"/>
      <c r="R232" s="8"/>
      <c r="S232" s="7"/>
      <c r="T232" s="9"/>
      <c r="U232" s="7"/>
      <c r="V232" s="8"/>
      <c r="W232" s="7"/>
      <c r="X232" s="7"/>
      <c r="Y232" s="8"/>
      <c r="Z232" s="7"/>
      <c r="AA232" s="8"/>
    </row>
    <row r="233" spans="4:27" ht="14.25" thickTop="1" thickBot="1">
      <c r="D233" s="66"/>
      <c r="E233" s="52" t="s">
        <v>887</v>
      </c>
      <c r="F233" s="7"/>
      <c r="G233" s="8"/>
      <c r="H233" s="7"/>
      <c r="I233" s="6"/>
      <c r="J233" s="7"/>
      <c r="K233" s="8"/>
      <c r="L233" s="7"/>
      <c r="M233" s="8"/>
      <c r="N233" s="7"/>
      <c r="O233" s="8"/>
      <c r="P233" s="7"/>
      <c r="Q233" s="7"/>
      <c r="R233" s="8"/>
      <c r="S233" s="7"/>
      <c r="T233" s="9"/>
      <c r="U233" s="7"/>
      <c r="V233" s="8"/>
      <c r="W233" s="7"/>
      <c r="X233" s="7"/>
      <c r="Y233" s="8"/>
      <c r="Z233" s="7"/>
      <c r="AA233" s="8"/>
    </row>
    <row r="234" spans="4:27" ht="14.25" thickTop="1" thickBot="1">
      <c r="D234" s="66"/>
      <c r="E234" s="52" t="s">
        <v>495</v>
      </c>
      <c r="F234" s="7"/>
      <c r="G234" s="8"/>
      <c r="H234" s="7"/>
      <c r="I234" s="6"/>
      <c r="J234" s="7"/>
      <c r="K234" s="8"/>
      <c r="L234" s="7"/>
      <c r="M234" s="8"/>
      <c r="N234" s="7"/>
      <c r="O234" s="8"/>
      <c r="P234" s="7"/>
      <c r="Q234" s="7"/>
      <c r="R234" s="8"/>
      <c r="S234" s="7"/>
      <c r="T234" s="9"/>
      <c r="U234" s="7"/>
      <c r="V234" s="8"/>
      <c r="W234" s="7"/>
      <c r="X234" s="7"/>
      <c r="Y234" s="8"/>
      <c r="Z234" s="7"/>
      <c r="AA234" s="8"/>
    </row>
    <row r="235" spans="4:27" ht="14.25" thickTop="1" thickBot="1">
      <c r="D235" s="66"/>
      <c r="E235" s="52" t="s">
        <v>500</v>
      </c>
      <c r="F235" s="7"/>
      <c r="G235" s="8"/>
      <c r="H235" s="7"/>
      <c r="I235" s="6"/>
      <c r="J235" s="7"/>
      <c r="K235" s="8"/>
      <c r="L235" s="7"/>
      <c r="M235" s="8"/>
      <c r="N235" s="7"/>
      <c r="O235" s="8"/>
      <c r="P235" s="7"/>
      <c r="Q235" s="7"/>
      <c r="R235" s="8"/>
      <c r="S235" s="7"/>
      <c r="T235" s="9"/>
      <c r="U235" s="7"/>
      <c r="V235" s="8"/>
      <c r="W235" s="7"/>
      <c r="X235" s="7"/>
      <c r="Y235" s="8"/>
      <c r="Z235" s="7"/>
      <c r="AA235" s="8"/>
    </row>
    <row r="236" spans="4:27" ht="14.25" thickTop="1" thickBot="1">
      <c r="D236" s="66"/>
      <c r="E236" s="52" t="s">
        <v>452</v>
      </c>
      <c r="F236" s="7"/>
      <c r="G236" s="8"/>
      <c r="H236" s="7"/>
      <c r="I236" s="6"/>
      <c r="J236" s="7"/>
      <c r="K236" s="8"/>
      <c r="L236" s="7"/>
      <c r="M236" s="8"/>
      <c r="N236" s="7"/>
      <c r="O236" s="8"/>
      <c r="P236" s="7"/>
      <c r="Q236" s="7"/>
      <c r="R236" s="8"/>
      <c r="S236" s="7"/>
      <c r="T236" s="9"/>
      <c r="U236" s="7"/>
      <c r="V236" s="8"/>
      <c r="W236" s="7"/>
      <c r="X236" s="7"/>
      <c r="Y236" s="8"/>
      <c r="Z236" s="7"/>
      <c r="AA236" s="8"/>
    </row>
    <row r="237" spans="4:27" ht="14.25" thickTop="1" thickBot="1">
      <c r="D237" s="66"/>
      <c r="E237" s="52" t="s">
        <v>453</v>
      </c>
      <c r="F237" s="7"/>
      <c r="G237" s="8"/>
      <c r="H237" s="7"/>
      <c r="I237" s="6"/>
      <c r="J237" s="7"/>
      <c r="K237" s="8"/>
      <c r="L237" s="7"/>
      <c r="M237" s="8"/>
      <c r="N237" s="7"/>
      <c r="O237" s="8"/>
      <c r="P237" s="7"/>
      <c r="Q237" s="7"/>
      <c r="R237" s="8"/>
      <c r="S237" s="7"/>
      <c r="T237" s="9"/>
      <c r="U237" s="7"/>
      <c r="V237" s="8"/>
      <c r="W237" s="7"/>
      <c r="X237" s="7"/>
      <c r="Y237" s="8"/>
      <c r="Z237" s="7"/>
      <c r="AA237" s="8"/>
    </row>
    <row r="238" spans="4:27" ht="14.25" thickTop="1" thickBot="1">
      <c r="D238" s="66"/>
      <c r="E238" s="52" t="s">
        <v>417</v>
      </c>
      <c r="F238" s="7"/>
      <c r="G238" s="8"/>
      <c r="H238" s="7"/>
      <c r="I238" s="6"/>
      <c r="J238" s="7"/>
      <c r="K238" s="8"/>
      <c r="L238" s="7"/>
      <c r="M238" s="8"/>
      <c r="N238" s="7"/>
      <c r="O238" s="8"/>
      <c r="P238" s="7"/>
      <c r="Q238" s="7"/>
      <c r="R238" s="8"/>
      <c r="S238" s="7"/>
      <c r="T238" s="9"/>
      <c r="U238" s="7"/>
      <c r="V238" s="8"/>
      <c r="W238" s="7"/>
      <c r="X238" s="7"/>
      <c r="Y238" s="8"/>
      <c r="Z238" s="7"/>
      <c r="AA238" s="8"/>
    </row>
    <row r="239" spans="4:27" ht="14.25" thickTop="1" thickBot="1">
      <c r="D239" s="66"/>
      <c r="E239" s="52" t="s">
        <v>840</v>
      </c>
      <c r="F239" s="7"/>
      <c r="G239" s="8"/>
      <c r="H239" s="7"/>
      <c r="I239" s="6"/>
      <c r="J239" s="7"/>
      <c r="K239" s="8"/>
      <c r="L239" s="7"/>
      <c r="M239" s="8"/>
      <c r="N239" s="7"/>
      <c r="O239" s="8"/>
      <c r="P239" s="7"/>
      <c r="Q239" s="7"/>
      <c r="R239" s="8"/>
      <c r="S239" s="7"/>
      <c r="T239" s="9"/>
      <c r="U239" s="7"/>
      <c r="V239" s="8"/>
      <c r="W239" s="7"/>
      <c r="X239" s="7"/>
      <c r="Y239" s="8"/>
      <c r="Z239" s="7"/>
      <c r="AA239" s="8"/>
    </row>
    <row r="240" spans="4:27" ht="14.25" thickTop="1" thickBot="1">
      <c r="D240" s="66"/>
      <c r="E240" s="52" t="s">
        <v>865</v>
      </c>
      <c r="F240" s="7"/>
      <c r="G240" s="8"/>
      <c r="H240" s="7"/>
      <c r="I240" s="6"/>
      <c r="J240" s="7"/>
      <c r="K240" s="8"/>
      <c r="L240" s="7"/>
      <c r="M240" s="8"/>
      <c r="N240" s="7"/>
      <c r="O240" s="8"/>
      <c r="P240" s="7"/>
      <c r="Q240" s="7"/>
      <c r="R240" s="8"/>
      <c r="S240" s="7"/>
      <c r="T240" s="9"/>
      <c r="U240" s="7"/>
      <c r="V240" s="8"/>
      <c r="W240" s="7"/>
      <c r="X240" s="7"/>
      <c r="Y240" s="8"/>
      <c r="Z240" s="7"/>
      <c r="AA240" s="8"/>
    </row>
    <row r="241" spans="4:27" ht="14.25" thickTop="1" thickBot="1">
      <c r="D241" s="66"/>
      <c r="E241" s="52" t="s">
        <v>1093</v>
      </c>
      <c r="F241" s="7"/>
      <c r="G241" s="8"/>
      <c r="H241" s="7"/>
      <c r="I241" s="6"/>
      <c r="J241" s="7"/>
      <c r="K241" s="8"/>
      <c r="L241" s="7"/>
      <c r="M241" s="8"/>
      <c r="N241" s="7"/>
      <c r="O241" s="8"/>
      <c r="P241" s="7"/>
      <c r="Q241" s="7"/>
      <c r="R241" s="8"/>
      <c r="S241" s="7"/>
      <c r="T241" s="9"/>
      <c r="U241" s="7"/>
      <c r="V241" s="8"/>
      <c r="W241" s="7"/>
      <c r="X241" s="7"/>
      <c r="Y241" s="8"/>
      <c r="Z241" s="7"/>
      <c r="AA241" s="8"/>
    </row>
    <row r="242" spans="4:27" ht="14.25" thickTop="1" thickBot="1">
      <c r="D242" s="66"/>
      <c r="E242" s="52" t="s">
        <v>428</v>
      </c>
      <c r="F242" s="7"/>
      <c r="G242" s="8"/>
      <c r="H242" s="7"/>
      <c r="I242" s="6"/>
      <c r="J242" s="7"/>
      <c r="K242" s="8"/>
      <c r="L242" s="7"/>
      <c r="M242" s="8"/>
      <c r="N242" s="7"/>
      <c r="O242" s="8"/>
      <c r="P242" s="7"/>
      <c r="Q242" s="7"/>
      <c r="R242" s="8"/>
      <c r="S242" s="7"/>
      <c r="T242" s="9"/>
      <c r="U242" s="7"/>
      <c r="V242" s="8"/>
      <c r="W242" s="7"/>
      <c r="X242" s="7"/>
      <c r="Y242" s="8"/>
      <c r="Z242" s="7"/>
      <c r="AA242" s="8"/>
    </row>
    <row r="243" spans="4:27" ht="14.25" thickTop="1" thickBot="1">
      <c r="D243" s="66"/>
      <c r="E243" s="52" t="s">
        <v>302</v>
      </c>
      <c r="F243" s="7"/>
      <c r="G243" s="8"/>
      <c r="H243" s="7"/>
      <c r="I243" s="6"/>
      <c r="J243" s="7"/>
      <c r="K243" s="8"/>
      <c r="L243" s="7"/>
      <c r="M243" s="8"/>
      <c r="N243" s="7"/>
      <c r="O243" s="8"/>
      <c r="P243" s="7"/>
      <c r="Q243" s="7"/>
      <c r="R243" s="8"/>
      <c r="S243" s="7"/>
      <c r="T243" s="9"/>
      <c r="U243" s="7"/>
      <c r="V243" s="8"/>
      <c r="W243" s="7"/>
      <c r="X243" s="7"/>
      <c r="Y243" s="8"/>
      <c r="Z243" s="7"/>
      <c r="AA243" s="8"/>
    </row>
    <row r="244" spans="4:27" ht="14.25" thickTop="1" thickBot="1">
      <c r="D244" s="66"/>
      <c r="E244" s="52" t="s">
        <v>447</v>
      </c>
      <c r="F244" s="7"/>
      <c r="G244" s="8"/>
      <c r="H244" s="7"/>
      <c r="I244" s="6"/>
      <c r="J244" s="7"/>
      <c r="K244" s="8"/>
      <c r="L244" s="7"/>
      <c r="M244" s="8"/>
      <c r="N244" s="7"/>
      <c r="O244" s="8"/>
      <c r="P244" s="7"/>
      <c r="Q244" s="7"/>
      <c r="R244" s="8"/>
      <c r="S244" s="7"/>
      <c r="T244" s="9"/>
      <c r="U244" s="7"/>
      <c r="V244" s="8"/>
      <c r="W244" s="7"/>
      <c r="X244" s="7"/>
      <c r="Y244" s="8"/>
      <c r="Z244" s="7"/>
      <c r="AA244" s="8"/>
    </row>
    <row r="245" spans="4:27" ht="14.25" thickTop="1" thickBot="1">
      <c r="D245" s="66"/>
      <c r="E245" s="52" t="s">
        <v>864</v>
      </c>
      <c r="F245" s="7"/>
      <c r="G245" s="8"/>
      <c r="H245" s="7"/>
      <c r="I245" s="6"/>
      <c r="J245" s="7"/>
      <c r="K245" s="8"/>
      <c r="L245" s="7"/>
      <c r="M245" s="8"/>
      <c r="N245" s="7"/>
      <c r="O245" s="8"/>
      <c r="P245" s="7"/>
      <c r="Q245" s="7"/>
      <c r="R245" s="8"/>
      <c r="S245" s="7"/>
      <c r="T245" s="9"/>
      <c r="U245" s="7"/>
      <c r="V245" s="8"/>
      <c r="W245" s="7"/>
      <c r="X245" s="7"/>
      <c r="Y245" s="8"/>
      <c r="Z245" s="7"/>
      <c r="AA245" s="8"/>
    </row>
    <row r="246" spans="4:27" ht="14.25" thickTop="1" thickBot="1">
      <c r="D246" s="66"/>
      <c r="E246" s="52" t="s">
        <v>866</v>
      </c>
      <c r="F246" s="7"/>
      <c r="G246" s="8"/>
      <c r="H246" s="7"/>
      <c r="I246" s="6"/>
      <c r="J246" s="7"/>
      <c r="K246" s="8"/>
      <c r="L246" s="7"/>
      <c r="M246" s="8"/>
      <c r="N246" s="7"/>
      <c r="O246" s="8"/>
      <c r="P246" s="7"/>
      <c r="Q246" s="7"/>
      <c r="R246" s="8"/>
      <c r="S246" s="7"/>
      <c r="T246" s="9"/>
      <c r="U246" s="7"/>
      <c r="V246" s="8"/>
      <c r="W246" s="7"/>
      <c r="X246" s="7"/>
      <c r="Y246" s="8"/>
      <c r="Z246" s="7"/>
      <c r="AA246" s="8"/>
    </row>
    <row r="247" spans="4:27" ht="14.25" thickTop="1" thickBot="1">
      <c r="D247" s="66"/>
      <c r="E247" s="52" t="s">
        <v>454</v>
      </c>
      <c r="F247" s="7"/>
      <c r="G247" s="8"/>
      <c r="H247" s="7"/>
      <c r="I247" s="6"/>
      <c r="J247" s="7"/>
      <c r="K247" s="8"/>
      <c r="L247" s="7"/>
      <c r="M247" s="8"/>
      <c r="N247" s="7"/>
      <c r="O247" s="8"/>
      <c r="P247" s="7"/>
      <c r="Q247" s="7"/>
      <c r="R247" s="8"/>
      <c r="S247" s="7"/>
      <c r="T247" s="9"/>
      <c r="U247" s="7"/>
      <c r="V247" s="8"/>
      <c r="W247" s="7"/>
      <c r="X247" s="7"/>
      <c r="Y247" s="8"/>
      <c r="Z247" s="7"/>
      <c r="AA247" s="8"/>
    </row>
    <row r="248" spans="4:27" ht="14.25" thickTop="1" thickBot="1">
      <c r="D248" s="66"/>
      <c r="E248" s="52" t="s">
        <v>869</v>
      </c>
      <c r="F248" s="7"/>
      <c r="G248" s="8"/>
      <c r="H248" s="7"/>
      <c r="I248" s="6"/>
      <c r="J248" s="7"/>
      <c r="K248" s="8"/>
      <c r="L248" s="7"/>
      <c r="M248" s="8"/>
      <c r="N248" s="7"/>
      <c r="O248" s="8"/>
      <c r="P248" s="7"/>
      <c r="Q248" s="7"/>
      <c r="R248" s="8"/>
      <c r="S248" s="7"/>
      <c r="T248" s="9"/>
      <c r="U248" s="7"/>
      <c r="V248" s="8"/>
      <c r="W248" s="7"/>
      <c r="X248" s="7"/>
      <c r="Y248" s="8"/>
      <c r="Z248" s="7"/>
      <c r="AA248" s="8"/>
    </row>
    <row r="249" spans="4:27" ht="14.25" thickTop="1" thickBot="1">
      <c r="D249" s="66"/>
      <c r="E249" s="52" t="s">
        <v>451</v>
      </c>
      <c r="F249" s="7"/>
      <c r="G249" s="8"/>
      <c r="H249" s="7"/>
      <c r="I249" s="6"/>
      <c r="J249" s="7"/>
      <c r="K249" s="8"/>
      <c r="L249" s="7"/>
      <c r="M249" s="8"/>
      <c r="N249" s="7"/>
      <c r="O249" s="8"/>
      <c r="P249" s="7"/>
      <c r="Q249" s="7"/>
      <c r="R249" s="8"/>
      <c r="S249" s="7"/>
      <c r="T249" s="9"/>
      <c r="U249" s="7"/>
      <c r="V249" s="8"/>
      <c r="W249" s="7"/>
      <c r="X249" s="7"/>
      <c r="Y249" s="8"/>
      <c r="Z249" s="7"/>
      <c r="AA249" s="8"/>
    </row>
    <row r="250" spans="4:27" ht="14.25" thickTop="1" thickBot="1">
      <c r="D250" s="66"/>
      <c r="E250" s="52" t="s">
        <v>449</v>
      </c>
      <c r="F250" s="7"/>
      <c r="G250" s="8"/>
      <c r="H250" s="7"/>
      <c r="I250" s="6"/>
      <c r="J250" s="7"/>
      <c r="K250" s="8"/>
      <c r="L250" s="7"/>
      <c r="M250" s="8"/>
      <c r="N250" s="7"/>
      <c r="O250" s="8"/>
      <c r="P250" s="7"/>
      <c r="Q250" s="7"/>
      <c r="R250" s="8"/>
      <c r="S250" s="7"/>
      <c r="T250" s="9"/>
      <c r="U250" s="7"/>
      <c r="V250" s="8"/>
      <c r="W250" s="7"/>
      <c r="X250" s="7"/>
      <c r="Y250" s="8"/>
      <c r="Z250" s="7"/>
      <c r="AA250" s="8"/>
    </row>
    <row r="251" spans="4:27" ht="14.25" thickTop="1" thickBot="1">
      <c r="D251" s="66"/>
      <c r="E251" s="52" t="s">
        <v>446</v>
      </c>
      <c r="F251" s="7"/>
      <c r="G251" s="8"/>
      <c r="H251" s="7"/>
      <c r="I251" s="6"/>
      <c r="J251" s="7"/>
      <c r="K251" s="8"/>
      <c r="L251" s="7"/>
      <c r="M251" s="8"/>
      <c r="N251" s="7"/>
      <c r="O251" s="8"/>
      <c r="P251" s="7"/>
      <c r="Q251" s="7"/>
      <c r="R251" s="8"/>
      <c r="S251" s="7"/>
      <c r="T251" s="9"/>
      <c r="U251" s="7"/>
      <c r="V251" s="8"/>
      <c r="W251" s="7"/>
      <c r="X251" s="7"/>
      <c r="Y251" s="8"/>
      <c r="Z251" s="7"/>
      <c r="AA251" s="8"/>
    </row>
    <row r="252" spans="4:27" ht="14.25" thickTop="1" thickBot="1">
      <c r="D252" s="66"/>
      <c r="E252" s="52" t="s">
        <v>445</v>
      </c>
      <c r="F252" s="7"/>
      <c r="G252" s="8"/>
      <c r="H252" s="7"/>
      <c r="I252" s="6"/>
      <c r="J252" s="7"/>
      <c r="K252" s="8"/>
      <c r="L252" s="7"/>
      <c r="M252" s="8"/>
      <c r="N252" s="7"/>
      <c r="O252" s="8"/>
      <c r="P252" s="7"/>
      <c r="Q252" s="7"/>
      <c r="R252" s="8"/>
      <c r="S252" s="7"/>
      <c r="T252" s="9"/>
      <c r="U252" s="7"/>
      <c r="V252" s="8"/>
      <c r="W252" s="7"/>
      <c r="X252" s="7"/>
      <c r="Y252" s="8"/>
      <c r="Z252" s="7"/>
      <c r="AA252" s="8"/>
    </row>
    <row r="253" spans="4:27" ht="14.25" thickTop="1" thickBot="1">
      <c r="D253" s="66"/>
      <c r="E253" s="52" t="s">
        <v>440</v>
      </c>
      <c r="F253" s="7"/>
      <c r="G253" s="8"/>
      <c r="H253" s="7"/>
      <c r="I253" s="6"/>
      <c r="J253" s="7"/>
      <c r="K253" s="8"/>
      <c r="L253" s="7"/>
      <c r="M253" s="8"/>
      <c r="N253" s="7"/>
      <c r="O253" s="8"/>
      <c r="P253" s="7"/>
      <c r="Q253" s="7"/>
      <c r="R253" s="8"/>
      <c r="S253" s="7"/>
      <c r="T253" s="9"/>
      <c r="U253" s="7"/>
      <c r="V253" s="8"/>
      <c r="W253" s="7"/>
      <c r="X253" s="7"/>
      <c r="Y253" s="8"/>
      <c r="Z253" s="7"/>
      <c r="AA253" s="8"/>
    </row>
    <row r="254" spans="4:27" ht="14.25" thickTop="1" thickBot="1">
      <c r="D254" s="66"/>
      <c r="E254" s="52" t="s">
        <v>870</v>
      </c>
      <c r="F254" s="7"/>
      <c r="G254" s="8"/>
      <c r="H254" s="7"/>
      <c r="I254" s="6"/>
      <c r="J254" s="7"/>
      <c r="K254" s="8"/>
      <c r="L254" s="7"/>
      <c r="M254" s="8"/>
      <c r="N254" s="7"/>
      <c r="O254" s="8"/>
      <c r="P254" s="7"/>
      <c r="Q254" s="7"/>
      <c r="R254" s="8"/>
      <c r="S254" s="7"/>
      <c r="T254" s="9"/>
      <c r="U254" s="7"/>
      <c r="V254" s="8"/>
      <c r="W254" s="7"/>
      <c r="X254" s="7"/>
      <c r="Y254" s="8"/>
      <c r="Z254" s="7"/>
      <c r="AA254" s="8"/>
    </row>
    <row r="255" spans="4:27" ht="14.25" thickTop="1" thickBot="1">
      <c r="D255" s="66"/>
      <c r="E255" s="52" t="s">
        <v>868</v>
      </c>
      <c r="F255" s="7"/>
      <c r="G255" s="8"/>
      <c r="H255" s="7"/>
      <c r="I255" s="6"/>
      <c r="J255" s="7"/>
      <c r="K255" s="8"/>
      <c r="L255" s="7"/>
      <c r="M255" s="8"/>
      <c r="N255" s="7"/>
      <c r="O255" s="8"/>
      <c r="P255" s="7"/>
      <c r="Q255" s="7"/>
      <c r="R255" s="8"/>
      <c r="S255" s="7"/>
      <c r="T255" s="9"/>
      <c r="U255" s="7"/>
      <c r="V255" s="8"/>
      <c r="W255" s="7"/>
      <c r="X255" s="7"/>
      <c r="Y255" s="8"/>
      <c r="Z255" s="7"/>
      <c r="AA255" s="8"/>
    </row>
    <row r="256" spans="4:27" ht="14.25" thickTop="1" thickBot="1">
      <c r="D256" s="66"/>
      <c r="E256" s="52" t="s">
        <v>845</v>
      </c>
      <c r="F256" s="7"/>
      <c r="G256" s="8"/>
      <c r="H256" s="7"/>
      <c r="I256" s="6"/>
      <c r="J256" s="7"/>
      <c r="K256" s="8"/>
      <c r="L256" s="7"/>
      <c r="M256" s="8"/>
      <c r="N256" s="7"/>
      <c r="O256" s="8"/>
      <c r="P256" s="7"/>
      <c r="Q256" s="7"/>
      <c r="R256" s="8"/>
      <c r="S256" s="7"/>
      <c r="T256" s="9"/>
      <c r="U256" s="7"/>
      <c r="V256" s="8"/>
      <c r="W256" s="7"/>
      <c r="X256" s="7"/>
      <c r="Y256" s="8"/>
      <c r="Z256" s="7"/>
      <c r="AA256" s="8"/>
    </row>
    <row r="257" spans="4:27" ht="14.25" thickTop="1" thickBot="1">
      <c r="D257" s="66"/>
      <c r="E257" s="52" t="s">
        <v>839</v>
      </c>
      <c r="F257" s="7"/>
      <c r="G257" s="8"/>
      <c r="H257" s="7"/>
      <c r="I257" s="6"/>
      <c r="J257" s="7"/>
      <c r="K257" s="8"/>
      <c r="L257" s="7"/>
      <c r="M257" s="8"/>
      <c r="N257" s="7"/>
      <c r="O257" s="8"/>
      <c r="P257" s="7"/>
      <c r="Q257" s="7"/>
      <c r="R257" s="8"/>
      <c r="S257" s="7"/>
      <c r="T257" s="9"/>
      <c r="U257" s="7"/>
      <c r="V257" s="8"/>
      <c r="W257" s="7"/>
      <c r="X257" s="7"/>
      <c r="Y257" s="8"/>
      <c r="Z257" s="7"/>
      <c r="AA257" s="8"/>
    </row>
    <row r="258" spans="4:27" ht="14.25" thickTop="1" thickBot="1">
      <c r="D258" s="66"/>
      <c r="E258" s="52" t="s">
        <v>841</v>
      </c>
      <c r="F258" s="7"/>
      <c r="G258" s="8"/>
      <c r="H258" s="7"/>
      <c r="I258" s="6"/>
      <c r="J258" s="7"/>
      <c r="K258" s="8"/>
      <c r="L258" s="7"/>
      <c r="M258" s="8"/>
      <c r="N258" s="7"/>
      <c r="O258" s="8"/>
      <c r="P258" s="7"/>
      <c r="Q258" s="7"/>
      <c r="R258" s="8"/>
      <c r="S258" s="7"/>
      <c r="T258" s="9"/>
      <c r="U258" s="7"/>
      <c r="V258" s="8"/>
      <c r="W258" s="7"/>
      <c r="X258" s="7"/>
      <c r="Y258" s="8"/>
      <c r="Z258" s="7"/>
      <c r="AA258" s="8"/>
    </row>
    <row r="259" spans="4:27" ht="14.25" thickTop="1" thickBot="1">
      <c r="D259" s="66"/>
      <c r="E259" s="52" t="s">
        <v>842</v>
      </c>
      <c r="F259" s="7"/>
      <c r="G259" s="8"/>
      <c r="H259" s="7"/>
      <c r="I259" s="6"/>
      <c r="J259" s="7"/>
      <c r="K259" s="8"/>
      <c r="L259" s="7"/>
      <c r="M259" s="8"/>
      <c r="N259" s="7"/>
      <c r="O259" s="8"/>
      <c r="P259" s="7"/>
      <c r="Q259" s="7"/>
      <c r="R259" s="8"/>
      <c r="S259" s="7"/>
      <c r="T259" s="9"/>
      <c r="U259" s="7"/>
      <c r="V259" s="8"/>
      <c r="W259" s="7"/>
      <c r="X259" s="7"/>
      <c r="Y259" s="8"/>
      <c r="Z259" s="7"/>
      <c r="AA259" s="8"/>
    </row>
    <row r="260" spans="4:27" ht="14.25" thickTop="1" thickBot="1">
      <c r="D260" s="66"/>
      <c r="E260" s="52" t="s">
        <v>873</v>
      </c>
      <c r="F260" s="7"/>
      <c r="G260" s="8"/>
      <c r="H260" s="7"/>
      <c r="I260" s="6"/>
      <c r="J260" s="7"/>
      <c r="K260" s="8"/>
      <c r="L260" s="7"/>
      <c r="M260" s="8"/>
      <c r="N260" s="7"/>
      <c r="O260" s="8"/>
      <c r="P260" s="7"/>
      <c r="Q260" s="7"/>
      <c r="R260" s="8"/>
      <c r="S260" s="7"/>
      <c r="T260" s="9"/>
      <c r="U260" s="7"/>
      <c r="V260" s="8"/>
      <c r="W260" s="7"/>
      <c r="X260" s="7"/>
      <c r="Y260" s="8"/>
      <c r="Z260" s="7"/>
      <c r="AA260" s="8"/>
    </row>
    <row r="261" spans="4:27" ht="14.25" thickTop="1" thickBot="1">
      <c r="D261" s="66"/>
      <c r="E261" s="52" t="s">
        <v>843</v>
      </c>
      <c r="F261" s="7"/>
      <c r="G261" s="8"/>
      <c r="H261" s="7"/>
      <c r="I261" s="6"/>
      <c r="J261" s="7"/>
      <c r="K261" s="8"/>
      <c r="L261" s="7"/>
      <c r="M261" s="8"/>
      <c r="N261" s="7"/>
      <c r="O261" s="8"/>
      <c r="P261" s="7"/>
      <c r="Q261" s="7"/>
      <c r="R261" s="8"/>
      <c r="S261" s="7"/>
      <c r="T261" s="9"/>
      <c r="U261" s="7"/>
      <c r="V261" s="8"/>
      <c r="W261" s="7"/>
      <c r="X261" s="7"/>
      <c r="Y261" s="8"/>
      <c r="Z261" s="7"/>
      <c r="AA261" s="8"/>
    </row>
    <row r="262" spans="4:27" ht="14.25" thickTop="1" thickBot="1">
      <c r="D262" s="66"/>
      <c r="E262" s="52" t="s">
        <v>844</v>
      </c>
      <c r="F262" s="7"/>
      <c r="G262" s="8"/>
      <c r="H262" s="7"/>
      <c r="I262" s="6"/>
      <c r="J262" s="7"/>
      <c r="K262" s="8"/>
      <c r="L262" s="7"/>
      <c r="M262" s="8"/>
      <c r="N262" s="7"/>
      <c r="O262" s="8"/>
      <c r="P262" s="7"/>
      <c r="Q262" s="7"/>
      <c r="R262" s="8"/>
      <c r="S262" s="7"/>
      <c r="T262" s="9"/>
      <c r="U262" s="7"/>
      <c r="V262" s="8"/>
      <c r="W262" s="7"/>
      <c r="X262" s="7"/>
      <c r="Y262" s="8"/>
      <c r="Z262" s="7"/>
      <c r="AA262" s="8"/>
    </row>
    <row r="263" spans="4:27" ht="14.25" thickTop="1" thickBot="1">
      <c r="D263" s="66"/>
      <c r="E263" s="52" t="s">
        <v>422</v>
      </c>
      <c r="F263" s="7"/>
      <c r="G263" s="8"/>
      <c r="H263" s="7"/>
      <c r="I263" s="6"/>
      <c r="J263" s="7"/>
      <c r="K263" s="8"/>
      <c r="L263" s="7"/>
      <c r="M263" s="8"/>
      <c r="N263" s="7"/>
      <c r="O263" s="8"/>
      <c r="P263" s="7"/>
      <c r="Q263" s="7"/>
      <c r="R263" s="8"/>
      <c r="S263" s="7"/>
      <c r="T263" s="9"/>
      <c r="U263" s="7"/>
      <c r="V263" s="8"/>
      <c r="W263" s="7"/>
      <c r="X263" s="7"/>
      <c r="Y263" s="8"/>
      <c r="Z263" s="7"/>
      <c r="AA263" s="8"/>
    </row>
    <row r="264" spans="4:27" ht="14.25" thickTop="1" thickBot="1">
      <c r="D264" s="66"/>
      <c r="E264" s="52" t="s">
        <v>443</v>
      </c>
      <c r="F264" s="7"/>
      <c r="G264" s="8"/>
      <c r="H264" s="7"/>
      <c r="I264" s="6"/>
      <c r="J264" s="7"/>
      <c r="K264" s="8"/>
      <c r="L264" s="7"/>
      <c r="M264" s="8"/>
      <c r="N264" s="7"/>
      <c r="O264" s="8"/>
      <c r="P264" s="7"/>
      <c r="Q264" s="7"/>
      <c r="R264" s="8"/>
      <c r="S264" s="7"/>
      <c r="T264" s="9"/>
      <c r="U264" s="7"/>
      <c r="V264" s="8"/>
      <c r="W264" s="7"/>
      <c r="X264" s="7"/>
      <c r="Y264" s="8"/>
      <c r="Z264" s="7"/>
      <c r="AA264" s="8"/>
    </row>
    <row r="265" spans="4:27" ht="14.25" thickTop="1" thickBot="1">
      <c r="D265" s="66"/>
      <c r="E265" s="52" t="s">
        <v>437</v>
      </c>
      <c r="F265" s="7"/>
      <c r="G265" s="8"/>
      <c r="H265" s="7"/>
      <c r="I265" s="6"/>
      <c r="J265" s="7"/>
      <c r="K265" s="8"/>
      <c r="L265" s="7"/>
      <c r="M265" s="8"/>
      <c r="N265" s="7"/>
      <c r="O265" s="8"/>
      <c r="P265" s="7"/>
      <c r="Q265" s="7"/>
      <c r="R265" s="8"/>
      <c r="S265" s="7"/>
      <c r="T265" s="9"/>
      <c r="U265" s="7"/>
      <c r="V265" s="8"/>
      <c r="W265" s="7"/>
      <c r="X265" s="7"/>
      <c r="Y265" s="8"/>
      <c r="Z265" s="7"/>
      <c r="AA265" s="8"/>
    </row>
    <row r="266" spans="4:27" ht="14.25" thickTop="1" thickBot="1">
      <c r="D266" s="66"/>
      <c r="E266" s="52" t="s">
        <v>420</v>
      </c>
      <c r="F266" s="7"/>
      <c r="G266" s="8"/>
      <c r="H266" s="7"/>
      <c r="I266" s="6"/>
      <c r="J266" s="7"/>
      <c r="K266" s="8"/>
      <c r="L266" s="7"/>
      <c r="M266" s="8"/>
      <c r="N266" s="7"/>
      <c r="O266" s="8"/>
      <c r="P266" s="7"/>
      <c r="Q266" s="7"/>
      <c r="R266" s="8"/>
      <c r="S266" s="7"/>
      <c r="T266" s="9"/>
      <c r="U266" s="7"/>
      <c r="V266" s="8"/>
      <c r="W266" s="7"/>
      <c r="X266" s="7"/>
      <c r="Y266" s="8"/>
      <c r="Z266" s="7"/>
      <c r="AA266" s="8"/>
    </row>
    <row r="267" spans="4:27" ht="14.25" thickTop="1" thickBot="1">
      <c r="D267" s="66"/>
      <c r="E267" s="52" t="s">
        <v>424</v>
      </c>
      <c r="F267" s="7"/>
      <c r="G267" s="8"/>
      <c r="H267" s="7"/>
      <c r="I267" s="6"/>
      <c r="J267" s="7"/>
      <c r="K267" s="8"/>
      <c r="L267" s="7"/>
      <c r="M267" s="8"/>
      <c r="N267" s="7"/>
      <c r="O267" s="8"/>
      <c r="P267" s="7"/>
      <c r="Q267" s="7"/>
      <c r="R267" s="8"/>
      <c r="S267" s="7"/>
      <c r="T267" s="9"/>
      <c r="U267" s="7"/>
      <c r="V267" s="8"/>
      <c r="W267" s="7"/>
      <c r="X267" s="7"/>
      <c r="Y267" s="8"/>
      <c r="Z267" s="7"/>
      <c r="AA267" s="8"/>
    </row>
    <row r="268" spans="4:27" ht="14.25" thickTop="1" thickBot="1">
      <c r="D268" s="66"/>
      <c r="E268" s="52" t="s">
        <v>856</v>
      </c>
      <c r="F268" s="7"/>
      <c r="G268" s="8"/>
      <c r="H268" s="7"/>
      <c r="I268" s="6"/>
      <c r="J268" s="7"/>
      <c r="K268" s="8"/>
      <c r="L268" s="7"/>
      <c r="M268" s="8"/>
      <c r="N268" s="7"/>
      <c r="O268" s="8"/>
      <c r="P268" s="7"/>
      <c r="Q268" s="7"/>
      <c r="R268" s="8"/>
      <c r="S268" s="7"/>
      <c r="T268" s="9"/>
      <c r="U268" s="7"/>
      <c r="V268" s="8"/>
      <c r="W268" s="7"/>
      <c r="X268" s="7"/>
      <c r="Y268" s="8"/>
      <c r="Z268" s="7"/>
      <c r="AA268" s="8"/>
    </row>
    <row r="269" spans="4:27" ht="14.25" thickTop="1" thickBot="1">
      <c r="D269" s="66"/>
      <c r="E269" s="52" t="s">
        <v>863</v>
      </c>
      <c r="F269" s="7"/>
      <c r="G269" s="8"/>
      <c r="H269" s="7"/>
      <c r="I269" s="6"/>
      <c r="J269" s="7"/>
      <c r="K269" s="8"/>
      <c r="L269" s="7"/>
      <c r="M269" s="8"/>
      <c r="N269" s="7"/>
      <c r="O269" s="8"/>
      <c r="P269" s="7"/>
      <c r="Q269" s="7"/>
      <c r="R269" s="8"/>
      <c r="S269" s="7"/>
      <c r="T269" s="9"/>
      <c r="U269" s="7"/>
      <c r="V269" s="8"/>
      <c r="W269" s="7"/>
      <c r="X269" s="7"/>
      <c r="Y269" s="8"/>
      <c r="Z269" s="7"/>
      <c r="AA269" s="8"/>
    </row>
    <row r="270" spans="4:27" ht="14.25" thickTop="1" thickBot="1">
      <c r="D270" s="66"/>
      <c r="E270" s="52" t="s">
        <v>1270</v>
      </c>
      <c r="F270" s="7"/>
      <c r="G270" s="8"/>
      <c r="H270" s="7"/>
      <c r="I270" s="6"/>
      <c r="J270" s="7"/>
      <c r="K270" s="8"/>
      <c r="L270" s="7"/>
      <c r="M270" s="8"/>
      <c r="N270" s="7"/>
      <c r="O270" s="8"/>
      <c r="P270" s="7"/>
      <c r="Q270" s="7"/>
      <c r="R270" s="8"/>
      <c r="S270" s="7"/>
      <c r="T270" s="9"/>
      <c r="U270" s="7"/>
      <c r="V270" s="8"/>
      <c r="W270" s="7"/>
      <c r="X270" s="7"/>
      <c r="Y270" s="8"/>
      <c r="Z270" s="7"/>
      <c r="AA270" s="8"/>
    </row>
    <row r="271" spans="4:27" ht="14.25" thickTop="1" thickBot="1">
      <c r="D271" s="66"/>
      <c r="E271" s="52" t="s">
        <v>442</v>
      </c>
      <c r="F271" s="7"/>
      <c r="G271" s="8"/>
      <c r="H271" s="7"/>
      <c r="I271" s="6"/>
      <c r="J271" s="7"/>
      <c r="K271" s="8"/>
      <c r="L271" s="7"/>
      <c r="M271" s="8"/>
      <c r="N271" s="7"/>
      <c r="O271" s="8"/>
      <c r="P271" s="7"/>
      <c r="Q271" s="7"/>
      <c r="R271" s="8"/>
      <c r="S271" s="7"/>
      <c r="T271" s="9"/>
      <c r="U271" s="7"/>
      <c r="V271" s="8"/>
      <c r="W271" s="7"/>
      <c r="X271" s="7"/>
      <c r="Y271" s="8"/>
      <c r="Z271" s="7"/>
      <c r="AA271" s="8"/>
    </row>
    <row r="272" spans="4:27" ht="14.25" thickTop="1" thickBot="1">
      <c r="D272" s="66"/>
      <c r="E272" s="52" t="s">
        <v>1086</v>
      </c>
      <c r="F272" s="7"/>
      <c r="G272" s="8"/>
      <c r="H272" s="7"/>
      <c r="I272" s="6"/>
      <c r="J272" s="7"/>
      <c r="K272" s="8"/>
      <c r="L272" s="7"/>
      <c r="M272" s="8"/>
      <c r="N272" s="7"/>
      <c r="O272" s="8"/>
      <c r="P272" s="7"/>
      <c r="Q272" s="7"/>
      <c r="R272" s="8"/>
      <c r="S272" s="7"/>
      <c r="T272" s="9"/>
      <c r="U272" s="7"/>
      <c r="V272" s="8"/>
      <c r="W272" s="7"/>
      <c r="X272" s="7"/>
      <c r="Y272" s="8"/>
      <c r="Z272" s="7"/>
      <c r="AA272" s="8"/>
    </row>
    <row r="273" spans="4:27" ht="14.25" thickTop="1" thickBot="1">
      <c r="D273" s="66"/>
      <c r="E273" s="52" t="s">
        <v>1271</v>
      </c>
      <c r="F273" s="7"/>
      <c r="G273" s="8"/>
      <c r="H273" s="7"/>
      <c r="I273" s="6"/>
      <c r="J273" s="7"/>
      <c r="K273" s="8"/>
      <c r="L273" s="7"/>
      <c r="M273" s="8"/>
      <c r="N273" s="7"/>
      <c r="O273" s="8"/>
      <c r="P273" s="7"/>
      <c r="Q273" s="7"/>
      <c r="R273" s="8"/>
      <c r="S273" s="7"/>
      <c r="T273" s="9"/>
      <c r="U273" s="7"/>
      <c r="V273" s="8"/>
      <c r="W273" s="7"/>
      <c r="X273" s="7"/>
      <c r="Y273" s="8"/>
      <c r="Z273" s="7"/>
      <c r="AA273" s="8"/>
    </row>
    <row r="274" spans="4:27" ht="14.25" thickTop="1" thickBot="1">
      <c r="D274" s="66"/>
      <c r="E274" s="52" t="s">
        <v>190</v>
      </c>
      <c r="F274" s="7"/>
      <c r="G274" s="8"/>
      <c r="H274" s="7"/>
      <c r="I274" s="6"/>
      <c r="J274" s="7"/>
      <c r="K274" s="8"/>
      <c r="L274" s="7"/>
      <c r="M274" s="8"/>
      <c r="N274" s="7"/>
      <c r="O274" s="8"/>
      <c r="P274" s="7"/>
      <c r="Q274" s="7"/>
      <c r="R274" s="8"/>
      <c r="S274" s="7"/>
      <c r="T274" s="9"/>
      <c r="U274" s="7"/>
      <c r="V274" s="8"/>
      <c r="W274" s="7"/>
      <c r="X274" s="7"/>
      <c r="Y274" s="8"/>
      <c r="Z274" s="7"/>
      <c r="AA274" s="8"/>
    </row>
    <row r="275" spans="4:27" ht="14.25" thickTop="1" thickBot="1">
      <c r="D275" s="66"/>
      <c r="E275" s="52" t="s">
        <v>1094</v>
      </c>
      <c r="F275" s="7"/>
      <c r="G275" s="8"/>
      <c r="H275" s="7"/>
      <c r="I275" s="6"/>
      <c r="J275" s="7"/>
      <c r="K275" s="8"/>
      <c r="L275" s="7"/>
      <c r="M275" s="8"/>
      <c r="N275" s="7"/>
      <c r="O275" s="8"/>
      <c r="P275" s="7"/>
      <c r="Q275" s="7"/>
      <c r="R275" s="8"/>
      <c r="S275" s="7"/>
      <c r="T275" s="9"/>
      <c r="U275" s="7"/>
      <c r="V275" s="8"/>
      <c r="W275" s="7"/>
      <c r="X275" s="7"/>
      <c r="Y275" s="8"/>
      <c r="Z275" s="7"/>
      <c r="AA275" s="8"/>
    </row>
    <row r="276" spans="4:27" ht="14.25" thickTop="1" thickBot="1">
      <c r="D276" s="66"/>
      <c r="E276" s="52" t="s">
        <v>194</v>
      </c>
      <c r="F276" s="7"/>
      <c r="G276" s="8"/>
      <c r="H276" s="7"/>
      <c r="I276" s="6"/>
      <c r="J276" s="7"/>
      <c r="K276" s="8"/>
      <c r="L276" s="7"/>
      <c r="M276" s="8"/>
      <c r="N276" s="7"/>
      <c r="O276" s="8"/>
      <c r="P276" s="7"/>
      <c r="Q276" s="7"/>
      <c r="R276" s="8"/>
      <c r="S276" s="7"/>
      <c r="T276" s="9"/>
      <c r="U276" s="7"/>
      <c r="V276" s="8"/>
      <c r="W276" s="7"/>
      <c r="X276" s="7"/>
      <c r="Y276" s="8"/>
      <c r="Z276" s="7"/>
      <c r="AA276" s="8"/>
    </row>
    <row r="277" spans="4:27" ht="14.25" thickTop="1" thickBot="1">
      <c r="D277" s="66"/>
      <c r="E277" s="52" t="s">
        <v>195</v>
      </c>
      <c r="F277" s="7"/>
      <c r="G277" s="8"/>
      <c r="H277" s="7"/>
      <c r="I277" s="6"/>
      <c r="J277" s="7"/>
      <c r="K277" s="8"/>
      <c r="L277" s="7"/>
      <c r="M277" s="8"/>
      <c r="N277" s="7"/>
      <c r="O277" s="8"/>
      <c r="P277" s="7"/>
      <c r="Q277" s="7"/>
      <c r="R277" s="8"/>
      <c r="S277" s="7"/>
      <c r="T277" s="9"/>
      <c r="U277" s="7"/>
      <c r="V277" s="8"/>
      <c r="W277" s="7"/>
      <c r="X277" s="7"/>
      <c r="Y277" s="8"/>
      <c r="Z277" s="7"/>
      <c r="AA277" s="8"/>
    </row>
    <row r="278" spans="4:27" ht="14.25" thickTop="1" thickBot="1">
      <c r="D278" s="66"/>
      <c r="E278" s="52" t="s">
        <v>197</v>
      </c>
      <c r="F278" s="7"/>
      <c r="G278" s="8"/>
      <c r="H278" s="7"/>
      <c r="I278" s="6"/>
      <c r="J278" s="7"/>
      <c r="K278" s="8"/>
      <c r="L278" s="7"/>
      <c r="M278" s="8"/>
      <c r="N278" s="7"/>
      <c r="O278" s="8"/>
      <c r="P278" s="7"/>
      <c r="Q278" s="7"/>
      <c r="R278" s="8"/>
      <c r="S278" s="7"/>
      <c r="T278" s="9"/>
      <c r="U278" s="7"/>
      <c r="V278" s="8"/>
      <c r="W278" s="7"/>
      <c r="X278" s="7"/>
      <c r="Y278" s="8"/>
      <c r="Z278" s="7"/>
      <c r="AA278" s="8"/>
    </row>
    <row r="279" spans="4:27" ht="14.25" thickTop="1" thickBot="1">
      <c r="D279" s="66"/>
      <c r="E279" s="52" t="s">
        <v>1272</v>
      </c>
      <c r="F279" s="7"/>
      <c r="G279" s="8"/>
      <c r="H279" s="7"/>
      <c r="I279" s="6"/>
      <c r="J279" s="7"/>
      <c r="K279" s="8"/>
      <c r="L279" s="7"/>
      <c r="M279" s="8"/>
      <c r="N279" s="7"/>
      <c r="O279" s="8"/>
      <c r="P279" s="7"/>
      <c r="Q279" s="7"/>
      <c r="R279" s="8"/>
      <c r="S279" s="7"/>
      <c r="T279" s="9"/>
      <c r="U279" s="7"/>
      <c r="V279" s="8"/>
      <c r="W279" s="7"/>
      <c r="X279" s="7"/>
      <c r="Y279" s="8"/>
      <c r="Z279" s="7"/>
      <c r="AA279" s="8"/>
    </row>
    <row r="280" spans="4:27" ht="14.25" thickTop="1" thickBot="1">
      <c r="D280" s="66"/>
      <c r="E280" s="52" t="s">
        <v>1273</v>
      </c>
      <c r="F280" s="7"/>
      <c r="G280" s="8"/>
      <c r="H280" s="7"/>
      <c r="I280" s="6"/>
      <c r="J280" s="7"/>
      <c r="K280" s="8"/>
      <c r="L280" s="7"/>
      <c r="M280" s="8"/>
      <c r="N280" s="7"/>
      <c r="O280" s="8"/>
      <c r="P280" s="7"/>
      <c r="Q280" s="7"/>
      <c r="R280" s="8"/>
      <c r="S280" s="7"/>
      <c r="T280" s="9"/>
      <c r="U280" s="7"/>
      <c r="V280" s="8"/>
      <c r="W280" s="7"/>
      <c r="X280" s="7"/>
      <c r="Y280" s="8"/>
      <c r="Z280" s="7"/>
      <c r="AA280" s="8"/>
    </row>
    <row r="281" spans="4:27" ht="14.25" thickTop="1" thickBot="1">
      <c r="D281" s="66"/>
      <c r="E281" s="52" t="s">
        <v>1011</v>
      </c>
      <c r="F281" s="7"/>
      <c r="G281" s="8"/>
      <c r="H281" s="7"/>
      <c r="I281" s="6"/>
      <c r="J281" s="7"/>
      <c r="K281" s="8"/>
      <c r="L281" s="7"/>
      <c r="M281" s="8"/>
      <c r="N281" s="7"/>
      <c r="O281" s="8"/>
      <c r="P281" s="7"/>
      <c r="Q281" s="7"/>
      <c r="R281" s="8"/>
      <c r="S281" s="7"/>
      <c r="T281" s="9"/>
      <c r="U281" s="7"/>
      <c r="V281" s="8"/>
      <c r="W281" s="7"/>
      <c r="X281" s="7"/>
      <c r="Y281" s="8"/>
      <c r="Z281" s="7"/>
      <c r="AA281" s="8"/>
    </row>
    <row r="282" spans="4:27" ht="14.25" thickTop="1" thickBot="1">
      <c r="D282" s="66"/>
      <c r="E282" s="52" t="s">
        <v>198</v>
      </c>
      <c r="F282" s="7"/>
      <c r="G282" s="8"/>
      <c r="H282" s="7"/>
      <c r="I282" s="6"/>
      <c r="J282" s="7"/>
      <c r="K282" s="8"/>
      <c r="L282" s="7"/>
      <c r="M282" s="8"/>
      <c r="N282" s="7"/>
      <c r="O282" s="8"/>
      <c r="P282" s="7"/>
      <c r="Q282" s="7"/>
      <c r="R282" s="8"/>
      <c r="S282" s="7"/>
      <c r="T282" s="9"/>
      <c r="U282" s="7"/>
      <c r="V282" s="8"/>
      <c r="W282" s="7"/>
      <c r="X282" s="7"/>
      <c r="Y282" s="8"/>
      <c r="Z282" s="7"/>
      <c r="AA282" s="8"/>
    </row>
    <row r="283" spans="4:27" ht="14.25" thickTop="1" thickBot="1">
      <c r="D283" s="66"/>
      <c r="E283" s="52" t="s">
        <v>1098</v>
      </c>
      <c r="F283" s="7"/>
      <c r="G283" s="8"/>
      <c r="H283" s="7"/>
      <c r="I283" s="6"/>
      <c r="J283" s="7"/>
      <c r="K283" s="8"/>
      <c r="L283" s="7"/>
      <c r="M283" s="8"/>
      <c r="N283" s="7"/>
      <c r="O283" s="8"/>
      <c r="P283" s="7"/>
      <c r="Q283" s="7"/>
      <c r="R283" s="8"/>
      <c r="S283" s="7"/>
      <c r="T283" s="9"/>
      <c r="U283" s="7"/>
      <c r="V283" s="8"/>
      <c r="W283" s="7"/>
      <c r="X283" s="7"/>
      <c r="Y283" s="8"/>
      <c r="Z283" s="7"/>
      <c r="AA283" s="8"/>
    </row>
    <row r="284" spans="4:27" ht="14.25" thickTop="1" thickBot="1">
      <c r="D284" s="66"/>
      <c r="E284" s="52" t="s">
        <v>239</v>
      </c>
      <c r="F284" s="7"/>
      <c r="G284" s="8"/>
      <c r="H284" s="7"/>
      <c r="I284" s="6"/>
      <c r="J284" s="7"/>
      <c r="K284" s="8"/>
      <c r="L284" s="7"/>
      <c r="M284" s="8"/>
      <c r="N284" s="7"/>
      <c r="O284" s="8"/>
      <c r="P284" s="7"/>
      <c r="Q284" s="7"/>
      <c r="R284" s="8"/>
      <c r="S284" s="7"/>
      <c r="T284" s="9"/>
      <c r="U284" s="7"/>
      <c r="V284" s="8"/>
      <c r="W284" s="7"/>
      <c r="X284" s="7"/>
      <c r="Y284" s="8"/>
      <c r="Z284" s="7"/>
      <c r="AA284" s="8"/>
    </row>
    <row r="285" spans="4:27" ht="14.25" thickTop="1" thickBot="1">
      <c r="D285" s="66"/>
      <c r="E285" s="52" t="s">
        <v>141</v>
      </c>
      <c r="F285" s="7"/>
      <c r="G285" s="8"/>
      <c r="H285" s="7"/>
      <c r="I285" s="6"/>
      <c r="J285" s="7"/>
      <c r="K285" s="8"/>
      <c r="L285" s="7"/>
      <c r="M285" s="8"/>
      <c r="N285" s="7"/>
      <c r="O285" s="8"/>
      <c r="P285" s="7"/>
      <c r="Q285" s="7"/>
      <c r="R285" s="8"/>
      <c r="S285" s="7"/>
      <c r="T285" s="9"/>
      <c r="U285" s="7"/>
      <c r="V285" s="8"/>
      <c r="W285" s="7"/>
      <c r="X285" s="7"/>
      <c r="Y285" s="8"/>
      <c r="Z285" s="7"/>
      <c r="AA285" s="8"/>
    </row>
    <row r="286" spans="4:27" ht="14.25" thickTop="1" thickBot="1">
      <c r="D286" s="66"/>
      <c r="E286" s="52" t="s">
        <v>241</v>
      </c>
      <c r="F286" s="7"/>
      <c r="G286" s="8"/>
      <c r="H286" s="7"/>
      <c r="I286" s="6"/>
      <c r="J286" s="7"/>
      <c r="K286" s="8"/>
      <c r="L286" s="7"/>
      <c r="M286" s="8"/>
      <c r="N286" s="7"/>
      <c r="O286" s="8"/>
      <c r="P286" s="7"/>
      <c r="Q286" s="7"/>
      <c r="R286" s="8"/>
      <c r="S286" s="7"/>
      <c r="T286" s="9"/>
      <c r="U286" s="7"/>
      <c r="V286" s="8"/>
      <c r="W286" s="7"/>
      <c r="X286" s="7"/>
      <c r="Y286" s="8"/>
      <c r="Z286" s="7"/>
      <c r="AA286" s="8"/>
    </row>
    <row r="287" spans="4:27" ht="14.25" thickTop="1" thickBot="1">
      <c r="D287" s="66"/>
      <c r="E287" s="52" t="s">
        <v>219</v>
      </c>
      <c r="F287" s="7"/>
      <c r="G287" s="8"/>
      <c r="H287" s="7"/>
      <c r="I287" s="6"/>
      <c r="J287" s="7"/>
      <c r="K287" s="8"/>
      <c r="L287" s="7"/>
      <c r="M287" s="8"/>
      <c r="N287" s="7"/>
      <c r="O287" s="8"/>
      <c r="P287" s="7"/>
      <c r="Q287" s="7"/>
      <c r="R287" s="8"/>
      <c r="S287" s="7"/>
      <c r="T287" s="9"/>
      <c r="U287" s="7"/>
      <c r="V287" s="8"/>
      <c r="W287" s="7"/>
      <c r="X287" s="7"/>
      <c r="Y287" s="8"/>
      <c r="Z287" s="7"/>
      <c r="AA287" s="8"/>
    </row>
    <row r="288" spans="4:27" ht="14.25" thickTop="1" thickBot="1">
      <c r="D288" s="66"/>
      <c r="E288" s="52" t="s">
        <v>1057</v>
      </c>
      <c r="F288" s="7"/>
      <c r="G288" s="8"/>
      <c r="H288" s="7"/>
      <c r="I288" s="6"/>
      <c r="J288" s="7"/>
      <c r="K288" s="8"/>
      <c r="L288" s="7"/>
      <c r="M288" s="8"/>
      <c r="N288" s="7"/>
      <c r="O288" s="8"/>
      <c r="P288" s="7"/>
      <c r="Q288" s="7"/>
      <c r="R288" s="8"/>
      <c r="S288" s="7"/>
      <c r="T288" s="9"/>
      <c r="U288" s="7"/>
      <c r="V288" s="8"/>
      <c r="W288" s="7"/>
      <c r="X288" s="7"/>
      <c r="Y288" s="8"/>
      <c r="Z288" s="7"/>
      <c r="AA288" s="8"/>
    </row>
    <row r="289" spans="4:27" ht="14.25" thickTop="1" thickBot="1">
      <c r="D289" s="66"/>
      <c r="E289" s="52" t="s">
        <v>1058</v>
      </c>
      <c r="F289" s="7"/>
      <c r="G289" s="8"/>
      <c r="H289" s="7"/>
      <c r="I289" s="6"/>
      <c r="J289" s="7"/>
      <c r="K289" s="8"/>
      <c r="L289" s="7"/>
      <c r="M289" s="8"/>
      <c r="N289" s="7"/>
      <c r="O289" s="8"/>
      <c r="P289" s="7"/>
      <c r="Q289" s="7"/>
      <c r="R289" s="8"/>
      <c r="S289" s="7"/>
      <c r="T289" s="9"/>
      <c r="U289" s="7"/>
      <c r="V289" s="8"/>
      <c r="W289" s="7"/>
      <c r="X289" s="7"/>
      <c r="Y289" s="8"/>
      <c r="Z289" s="7"/>
      <c r="AA289" s="8"/>
    </row>
    <row r="290" spans="4:27" ht="14.25" thickTop="1" thickBot="1">
      <c r="D290" s="66"/>
      <c r="E290" s="52" t="s">
        <v>224</v>
      </c>
      <c r="F290" s="7"/>
      <c r="G290" s="8"/>
      <c r="H290" s="7"/>
      <c r="I290" s="6"/>
      <c r="J290" s="7"/>
      <c r="K290" s="8"/>
      <c r="L290" s="7"/>
      <c r="M290" s="8"/>
      <c r="N290" s="7"/>
      <c r="O290" s="8"/>
      <c r="P290" s="7"/>
      <c r="Q290" s="7"/>
      <c r="R290" s="8"/>
      <c r="S290" s="7"/>
      <c r="T290" s="9"/>
      <c r="U290" s="7"/>
      <c r="V290" s="8"/>
      <c r="W290" s="7"/>
      <c r="X290" s="7"/>
      <c r="Y290" s="8"/>
      <c r="Z290" s="7"/>
      <c r="AA290" s="8"/>
    </row>
    <row r="291" spans="4:27" ht="14.25" thickTop="1" thickBot="1">
      <c r="D291" s="66"/>
      <c r="E291" s="52" t="s">
        <v>242</v>
      </c>
      <c r="F291" s="7"/>
      <c r="G291" s="8"/>
      <c r="H291" s="7"/>
      <c r="I291" s="6"/>
      <c r="J291" s="7"/>
      <c r="K291" s="8"/>
      <c r="L291" s="7"/>
      <c r="M291" s="8"/>
      <c r="N291" s="7"/>
      <c r="O291" s="8"/>
      <c r="P291" s="7"/>
      <c r="Q291" s="7"/>
      <c r="R291" s="8"/>
      <c r="S291" s="7"/>
      <c r="T291" s="9"/>
      <c r="U291" s="7"/>
      <c r="V291" s="8"/>
      <c r="W291" s="7"/>
      <c r="X291" s="7"/>
      <c r="Y291" s="8"/>
      <c r="Z291" s="7"/>
      <c r="AA291" s="8"/>
    </row>
    <row r="292" spans="4:27" ht="14.25" thickTop="1" thickBot="1">
      <c r="D292" s="66"/>
      <c r="E292" s="52" t="s">
        <v>243</v>
      </c>
      <c r="F292" s="7"/>
      <c r="G292" s="8"/>
      <c r="H292" s="7"/>
      <c r="I292" s="6"/>
      <c r="J292" s="7"/>
      <c r="K292" s="8"/>
      <c r="L292" s="7"/>
      <c r="M292" s="8"/>
      <c r="N292" s="7"/>
      <c r="O292" s="8"/>
      <c r="P292" s="7"/>
      <c r="Q292" s="7"/>
      <c r="R292" s="8"/>
      <c r="S292" s="7"/>
      <c r="T292" s="9"/>
      <c r="U292" s="7"/>
      <c r="V292" s="8"/>
      <c r="W292" s="7"/>
      <c r="X292" s="7"/>
      <c r="Y292" s="8"/>
      <c r="Z292" s="7"/>
      <c r="AA292" s="8"/>
    </row>
    <row r="293" spans="4:27" ht="14.25" thickTop="1" thickBot="1">
      <c r="D293" s="66"/>
      <c r="E293" s="52" t="s">
        <v>244</v>
      </c>
      <c r="F293" s="7"/>
      <c r="G293" s="8"/>
      <c r="H293" s="7"/>
      <c r="I293" s="6"/>
      <c r="J293" s="7"/>
      <c r="K293" s="8"/>
      <c r="L293" s="7"/>
      <c r="M293" s="8"/>
      <c r="N293" s="7"/>
      <c r="O293" s="8"/>
      <c r="P293" s="7"/>
      <c r="Q293" s="7"/>
      <c r="R293" s="8"/>
      <c r="S293" s="7"/>
      <c r="T293" s="9"/>
      <c r="U293" s="7"/>
      <c r="V293" s="8"/>
      <c r="W293" s="7"/>
      <c r="X293" s="7"/>
      <c r="Y293" s="8"/>
      <c r="Z293" s="7"/>
      <c r="AA293" s="8"/>
    </row>
    <row r="294" spans="4:27" ht="14.25" thickTop="1" thickBot="1">
      <c r="D294" s="66"/>
      <c r="E294" s="52" t="s">
        <v>1064</v>
      </c>
      <c r="F294" s="7"/>
      <c r="G294" s="8"/>
      <c r="H294" s="7"/>
      <c r="I294" s="6"/>
      <c r="J294" s="7"/>
      <c r="K294" s="8"/>
      <c r="L294" s="7"/>
      <c r="M294" s="8"/>
      <c r="N294" s="7"/>
      <c r="O294" s="8"/>
      <c r="P294" s="7"/>
      <c r="Q294" s="7"/>
      <c r="R294" s="8"/>
      <c r="S294" s="7"/>
      <c r="T294" s="9"/>
      <c r="U294" s="7"/>
      <c r="V294" s="8"/>
      <c r="W294" s="7"/>
      <c r="X294" s="7"/>
      <c r="Y294" s="8"/>
      <c r="Z294" s="7"/>
      <c r="AA294" s="8"/>
    </row>
    <row r="295" spans="4:27" ht="14.25" thickTop="1" thickBot="1">
      <c r="D295" s="66"/>
      <c r="E295" s="52" t="s">
        <v>245</v>
      </c>
      <c r="F295" s="7"/>
      <c r="G295" s="8"/>
      <c r="H295" s="7"/>
      <c r="I295" s="6"/>
      <c r="J295" s="7"/>
      <c r="K295" s="8"/>
      <c r="L295" s="7"/>
      <c r="M295" s="8"/>
      <c r="N295" s="7"/>
      <c r="O295" s="8"/>
      <c r="P295" s="7"/>
      <c r="Q295" s="7"/>
      <c r="R295" s="8"/>
      <c r="S295" s="7"/>
      <c r="T295" s="9"/>
      <c r="U295" s="7"/>
      <c r="V295" s="8"/>
      <c r="W295" s="7"/>
      <c r="X295" s="7"/>
      <c r="Y295" s="8"/>
      <c r="Z295" s="7"/>
      <c r="AA295" s="8"/>
    </row>
    <row r="296" spans="4:27" ht="14.25" thickTop="1" thickBot="1">
      <c r="D296" s="66"/>
      <c r="E296" s="52" t="s">
        <v>246</v>
      </c>
      <c r="F296" s="7"/>
      <c r="G296" s="8"/>
      <c r="H296" s="7"/>
      <c r="I296" s="6"/>
      <c r="J296" s="7"/>
      <c r="K296" s="8"/>
      <c r="L296" s="7"/>
      <c r="M296" s="8"/>
      <c r="N296" s="7"/>
      <c r="O296" s="8"/>
      <c r="P296" s="7"/>
      <c r="Q296" s="7"/>
      <c r="R296" s="8"/>
      <c r="S296" s="7"/>
      <c r="T296" s="9"/>
      <c r="U296" s="7"/>
      <c r="V296" s="8"/>
      <c r="W296" s="7"/>
      <c r="X296" s="7"/>
      <c r="Y296" s="8"/>
      <c r="Z296" s="7"/>
      <c r="AA296" s="8"/>
    </row>
    <row r="297" spans="4:27" ht="14.25" thickTop="1" thickBot="1">
      <c r="D297" s="66"/>
      <c r="E297" s="52" t="s">
        <v>143</v>
      </c>
      <c r="F297" s="7"/>
      <c r="G297" s="8"/>
      <c r="H297" s="7"/>
      <c r="I297" s="6"/>
      <c r="J297" s="7"/>
      <c r="K297" s="8"/>
      <c r="L297" s="7"/>
      <c r="M297" s="8"/>
      <c r="N297" s="7"/>
      <c r="O297" s="8"/>
      <c r="P297" s="7"/>
      <c r="Q297" s="7"/>
      <c r="R297" s="8"/>
      <c r="S297" s="7"/>
      <c r="T297" s="9"/>
      <c r="U297" s="7"/>
      <c r="V297" s="8"/>
      <c r="W297" s="7"/>
      <c r="X297" s="7"/>
      <c r="Y297" s="8"/>
      <c r="Z297" s="7"/>
      <c r="AA297" s="8"/>
    </row>
    <row r="298" spans="4:27" ht="14.25" thickTop="1" thickBot="1">
      <c r="D298" s="66"/>
      <c r="E298" s="52" t="s">
        <v>247</v>
      </c>
      <c r="F298" s="7"/>
      <c r="G298" s="8"/>
      <c r="H298" s="7"/>
      <c r="I298" s="6"/>
      <c r="J298" s="7"/>
      <c r="K298" s="8"/>
      <c r="L298" s="7"/>
      <c r="M298" s="8"/>
      <c r="N298" s="7"/>
      <c r="O298" s="8"/>
      <c r="P298" s="7"/>
      <c r="Q298" s="7"/>
      <c r="R298" s="8"/>
      <c r="S298" s="7"/>
      <c r="T298" s="9"/>
      <c r="U298" s="7"/>
      <c r="V298" s="8"/>
      <c r="W298" s="7"/>
      <c r="X298" s="7"/>
      <c r="Y298" s="8"/>
      <c r="Z298" s="7"/>
      <c r="AA298" s="8"/>
    </row>
    <row r="299" spans="4:27" ht="14.25" thickTop="1" thickBot="1">
      <c r="D299" s="66"/>
      <c r="E299" s="52" t="s">
        <v>248</v>
      </c>
      <c r="F299" s="7"/>
      <c r="G299" s="8"/>
      <c r="H299" s="7"/>
      <c r="I299" s="6"/>
      <c r="J299" s="7"/>
      <c r="K299" s="8"/>
      <c r="L299" s="7"/>
      <c r="M299" s="8"/>
      <c r="N299" s="7"/>
      <c r="O299" s="8"/>
      <c r="P299" s="7"/>
      <c r="Q299" s="7"/>
      <c r="R299" s="8"/>
      <c r="S299" s="7"/>
      <c r="T299" s="9"/>
      <c r="U299" s="7"/>
      <c r="V299" s="8"/>
      <c r="W299" s="7"/>
      <c r="X299" s="7"/>
      <c r="Y299" s="8"/>
      <c r="Z299" s="7"/>
      <c r="AA299" s="8"/>
    </row>
    <row r="300" spans="4:27" ht="14.25" thickTop="1" thickBot="1">
      <c r="D300" s="66"/>
      <c r="E300" s="52" t="s">
        <v>1065</v>
      </c>
      <c r="F300" s="7"/>
      <c r="G300" s="8"/>
      <c r="H300" s="7"/>
      <c r="I300" s="6"/>
      <c r="J300" s="7"/>
      <c r="K300" s="8"/>
      <c r="L300" s="7"/>
      <c r="M300" s="8"/>
      <c r="N300" s="7"/>
      <c r="O300" s="8"/>
      <c r="P300" s="7"/>
      <c r="Q300" s="7"/>
      <c r="R300" s="8"/>
      <c r="S300" s="7"/>
      <c r="T300" s="9"/>
      <c r="U300" s="7"/>
      <c r="V300" s="8"/>
      <c r="W300" s="7"/>
      <c r="X300" s="7"/>
      <c r="Y300" s="8"/>
      <c r="Z300" s="7"/>
      <c r="AA300" s="8"/>
    </row>
    <row r="301" spans="4:27" ht="14.25" thickTop="1" thickBot="1">
      <c r="D301" s="66"/>
      <c r="E301" s="52" t="s">
        <v>249</v>
      </c>
      <c r="F301" s="7"/>
      <c r="G301" s="8"/>
      <c r="H301" s="7"/>
      <c r="I301" s="6"/>
      <c r="J301" s="7"/>
      <c r="K301" s="8"/>
      <c r="L301" s="7"/>
      <c r="M301" s="8"/>
      <c r="N301" s="7"/>
      <c r="O301" s="8"/>
      <c r="P301" s="7"/>
      <c r="Q301" s="7"/>
      <c r="R301" s="8"/>
      <c r="S301" s="7"/>
      <c r="T301" s="9"/>
      <c r="U301" s="7"/>
      <c r="V301" s="8"/>
      <c r="W301" s="7"/>
      <c r="X301" s="7"/>
      <c r="Y301" s="8"/>
      <c r="Z301" s="7"/>
      <c r="AA301" s="8"/>
    </row>
    <row r="302" spans="4:27" ht="14.25" thickTop="1" thickBot="1">
      <c r="D302" s="66"/>
      <c r="E302" s="52" t="s">
        <v>250</v>
      </c>
      <c r="F302" s="7"/>
      <c r="G302" s="8"/>
      <c r="H302" s="7"/>
      <c r="I302" s="6"/>
      <c r="J302" s="7"/>
      <c r="K302" s="8"/>
      <c r="L302" s="7"/>
      <c r="M302" s="8"/>
      <c r="N302" s="7"/>
      <c r="O302" s="8"/>
      <c r="P302" s="7"/>
      <c r="Q302" s="7"/>
      <c r="R302" s="8"/>
      <c r="S302" s="7"/>
      <c r="T302" s="9"/>
      <c r="U302" s="7"/>
      <c r="V302" s="8"/>
      <c r="W302" s="7"/>
      <c r="X302" s="7"/>
      <c r="Y302" s="8"/>
      <c r="Z302" s="7"/>
      <c r="AA302" s="8"/>
    </row>
    <row r="303" spans="4:27" ht="14.25" thickTop="1" thickBot="1">
      <c r="D303" s="66"/>
      <c r="E303" s="52" t="s">
        <v>251</v>
      </c>
      <c r="F303" s="7"/>
      <c r="G303" s="8"/>
      <c r="H303" s="7"/>
      <c r="I303" s="6"/>
      <c r="J303" s="7"/>
      <c r="K303" s="8"/>
      <c r="L303" s="7"/>
      <c r="M303" s="8"/>
      <c r="N303" s="7"/>
      <c r="O303" s="8"/>
      <c r="P303" s="7"/>
      <c r="Q303" s="7"/>
      <c r="R303" s="8"/>
      <c r="S303" s="7"/>
      <c r="T303" s="9"/>
      <c r="U303" s="7"/>
      <c r="V303" s="8"/>
      <c r="W303" s="7"/>
      <c r="X303" s="7"/>
      <c r="Y303" s="8"/>
      <c r="Z303" s="7"/>
      <c r="AA303" s="8"/>
    </row>
    <row r="304" spans="4:27" ht="14.25" thickTop="1" thickBot="1">
      <c r="D304" s="66"/>
      <c r="E304" s="52" t="s">
        <v>252</v>
      </c>
      <c r="F304" s="7"/>
      <c r="G304" s="8"/>
      <c r="H304" s="7"/>
      <c r="I304" s="6"/>
      <c r="J304" s="7"/>
      <c r="K304" s="8"/>
      <c r="L304" s="7"/>
      <c r="M304" s="8"/>
      <c r="N304" s="7"/>
      <c r="O304" s="8"/>
      <c r="P304" s="7"/>
      <c r="Q304" s="7"/>
      <c r="R304" s="8"/>
      <c r="S304" s="7"/>
      <c r="T304" s="9"/>
      <c r="U304" s="7"/>
      <c r="V304" s="8"/>
      <c r="W304" s="7"/>
      <c r="X304" s="7"/>
      <c r="Y304" s="8"/>
      <c r="Z304" s="7"/>
      <c r="AA304" s="8"/>
    </row>
    <row r="305" spans="4:27" ht="14.25" thickTop="1" thickBot="1">
      <c r="D305" s="66"/>
      <c r="E305" s="52" t="s">
        <v>225</v>
      </c>
      <c r="F305" s="7"/>
      <c r="G305" s="8"/>
      <c r="H305" s="7"/>
      <c r="I305" s="6"/>
      <c r="J305" s="7"/>
      <c r="K305" s="8"/>
      <c r="L305" s="7"/>
      <c r="M305" s="8"/>
      <c r="N305" s="7"/>
      <c r="O305" s="8"/>
      <c r="P305" s="7"/>
      <c r="Q305" s="7"/>
      <c r="R305" s="8"/>
      <c r="S305" s="7"/>
      <c r="T305" s="9"/>
      <c r="U305" s="7"/>
      <c r="V305" s="8"/>
      <c r="W305" s="7"/>
      <c r="X305" s="7"/>
      <c r="Y305" s="8"/>
      <c r="Z305" s="7"/>
      <c r="AA305" s="8"/>
    </row>
    <row r="306" spans="4:27" ht="14.25" thickTop="1" thickBot="1">
      <c r="D306" s="66"/>
      <c r="E306" s="52" t="s">
        <v>253</v>
      </c>
      <c r="F306" s="7"/>
      <c r="G306" s="8"/>
      <c r="H306" s="7"/>
      <c r="I306" s="6"/>
      <c r="J306" s="7"/>
      <c r="K306" s="8"/>
      <c r="L306" s="7"/>
      <c r="M306" s="8"/>
      <c r="N306" s="7"/>
      <c r="O306" s="8"/>
      <c r="P306" s="7"/>
      <c r="Q306" s="7"/>
      <c r="R306" s="8"/>
      <c r="S306" s="7"/>
      <c r="T306" s="9"/>
      <c r="U306" s="7"/>
      <c r="V306" s="8"/>
      <c r="W306" s="7"/>
      <c r="X306" s="7"/>
      <c r="Y306" s="8"/>
      <c r="Z306" s="7"/>
      <c r="AA306" s="8"/>
    </row>
    <row r="307" spans="4:27" ht="14.25" thickTop="1" thickBot="1">
      <c r="D307" s="66"/>
      <c r="E307" s="52" t="s">
        <v>254</v>
      </c>
      <c r="F307" s="7"/>
      <c r="G307" s="8"/>
      <c r="H307" s="7"/>
      <c r="I307" s="6"/>
      <c r="J307" s="7"/>
      <c r="K307" s="8"/>
      <c r="L307" s="7"/>
      <c r="M307" s="8"/>
      <c r="N307" s="7"/>
      <c r="O307" s="8"/>
      <c r="P307" s="7"/>
      <c r="Q307" s="7"/>
      <c r="R307" s="8"/>
      <c r="S307" s="7"/>
      <c r="T307" s="9"/>
      <c r="U307" s="7"/>
      <c r="V307" s="8"/>
      <c r="W307" s="7"/>
      <c r="X307" s="7"/>
      <c r="Y307" s="8"/>
      <c r="Z307" s="7"/>
      <c r="AA307" s="8"/>
    </row>
    <row r="308" spans="4:27" ht="14.25" thickTop="1" thickBot="1">
      <c r="D308" s="66"/>
      <c r="E308" s="52" t="s">
        <v>255</v>
      </c>
      <c r="F308" s="7"/>
      <c r="G308" s="8"/>
      <c r="H308" s="7"/>
      <c r="I308" s="6"/>
      <c r="J308" s="7"/>
      <c r="K308" s="8"/>
      <c r="L308" s="7"/>
      <c r="M308" s="8"/>
      <c r="N308" s="7"/>
      <c r="O308" s="8"/>
      <c r="P308" s="7"/>
      <c r="Q308" s="7"/>
      <c r="R308" s="8"/>
      <c r="S308" s="7"/>
      <c r="T308" s="9"/>
      <c r="U308" s="7"/>
      <c r="V308" s="8"/>
      <c r="W308" s="7"/>
      <c r="X308" s="7"/>
      <c r="Y308" s="8"/>
      <c r="Z308" s="7"/>
      <c r="AA308" s="8"/>
    </row>
    <row r="309" spans="4:27" ht="14.25" thickTop="1" thickBot="1">
      <c r="D309" s="66"/>
      <c r="E309" s="52" t="s">
        <v>256</v>
      </c>
      <c r="F309" s="7"/>
      <c r="G309" s="8"/>
      <c r="H309" s="7"/>
      <c r="I309" s="6"/>
      <c r="J309" s="7"/>
      <c r="K309" s="8"/>
      <c r="L309" s="7"/>
      <c r="M309" s="8"/>
      <c r="N309" s="7"/>
      <c r="O309" s="8"/>
      <c r="P309" s="7"/>
      <c r="Q309" s="7"/>
      <c r="R309" s="8"/>
      <c r="S309" s="7"/>
      <c r="T309" s="9"/>
      <c r="U309" s="7"/>
      <c r="V309" s="8"/>
      <c r="W309" s="7"/>
      <c r="X309" s="7"/>
      <c r="Y309" s="8"/>
      <c r="Z309" s="7"/>
      <c r="AA309" s="8"/>
    </row>
    <row r="310" spans="4:27" ht="14.25" thickTop="1" thickBot="1">
      <c r="D310" s="66"/>
      <c r="E310" s="52" t="s">
        <v>722</v>
      </c>
      <c r="F310" s="7"/>
      <c r="G310" s="8"/>
      <c r="H310" s="7"/>
      <c r="I310" s="6"/>
      <c r="J310" s="7"/>
      <c r="K310" s="8"/>
      <c r="L310" s="7"/>
      <c r="M310" s="8"/>
      <c r="N310" s="7"/>
      <c r="O310" s="8"/>
      <c r="P310" s="7"/>
      <c r="Q310" s="7"/>
      <c r="R310" s="8"/>
      <c r="S310" s="7"/>
      <c r="T310" s="9"/>
      <c r="U310" s="7"/>
      <c r="V310" s="8"/>
      <c r="W310" s="7"/>
      <c r="X310" s="7"/>
      <c r="Y310" s="8"/>
      <c r="Z310" s="7"/>
      <c r="AA310" s="8"/>
    </row>
    <row r="311" spans="4:27" ht="14.25" thickTop="1" thickBot="1">
      <c r="D311" s="66"/>
      <c r="E311" s="52" t="s">
        <v>745</v>
      </c>
      <c r="F311" s="7"/>
      <c r="G311" s="8"/>
      <c r="H311" s="7"/>
      <c r="I311" s="6"/>
      <c r="J311" s="7"/>
      <c r="K311" s="8"/>
      <c r="L311" s="7"/>
      <c r="M311" s="8"/>
      <c r="N311" s="7"/>
      <c r="O311" s="8"/>
      <c r="P311" s="7"/>
      <c r="Q311" s="7"/>
      <c r="R311" s="8"/>
      <c r="S311" s="7"/>
      <c r="T311" s="9"/>
      <c r="U311" s="7"/>
      <c r="V311" s="8"/>
      <c r="W311" s="7"/>
      <c r="X311" s="7"/>
      <c r="Y311" s="8"/>
      <c r="Z311" s="7"/>
      <c r="AA311" s="8"/>
    </row>
    <row r="312" spans="4:27" ht="14.25" thickTop="1" thickBot="1">
      <c r="D312" s="66"/>
      <c r="E312" s="52" t="s">
        <v>1072</v>
      </c>
      <c r="F312" s="7"/>
      <c r="G312" s="8"/>
      <c r="H312" s="7"/>
      <c r="I312" s="6"/>
      <c r="J312" s="7"/>
      <c r="K312" s="8"/>
      <c r="L312" s="7"/>
      <c r="M312" s="8"/>
      <c r="N312" s="7"/>
      <c r="O312" s="8"/>
      <c r="P312" s="7"/>
      <c r="Q312" s="7"/>
      <c r="R312" s="8"/>
      <c r="S312" s="7"/>
      <c r="T312" s="9"/>
      <c r="U312" s="7"/>
      <c r="V312" s="8"/>
      <c r="W312" s="7"/>
      <c r="X312" s="7"/>
      <c r="Y312" s="8"/>
      <c r="Z312" s="7"/>
      <c r="AA312" s="8"/>
    </row>
    <row r="313" spans="4:27" ht="14.25" thickTop="1" thickBot="1">
      <c r="D313" s="66"/>
      <c r="E313" s="52" t="s">
        <v>727</v>
      </c>
      <c r="F313" s="7"/>
      <c r="G313" s="8"/>
      <c r="H313" s="7"/>
      <c r="I313" s="6"/>
      <c r="J313" s="7"/>
      <c r="K313" s="8"/>
      <c r="L313" s="7"/>
      <c r="M313" s="8"/>
      <c r="N313" s="7"/>
      <c r="O313" s="8"/>
      <c r="P313" s="7"/>
      <c r="Q313" s="7"/>
      <c r="R313" s="8"/>
      <c r="S313" s="7"/>
      <c r="T313" s="9"/>
      <c r="U313" s="7"/>
      <c r="V313" s="8"/>
      <c r="W313" s="7"/>
      <c r="X313" s="7"/>
      <c r="Y313" s="8"/>
      <c r="Z313" s="7"/>
      <c r="AA313" s="8"/>
    </row>
    <row r="314" spans="4:27" ht="14.25" thickTop="1" thickBot="1">
      <c r="D314" s="66"/>
      <c r="E314" s="52" t="s">
        <v>1104</v>
      </c>
      <c r="F314" s="7"/>
      <c r="G314" s="8"/>
      <c r="H314" s="7"/>
      <c r="I314" s="6"/>
      <c r="J314" s="7"/>
      <c r="K314" s="8"/>
      <c r="L314" s="7"/>
      <c r="M314" s="8"/>
      <c r="N314" s="7"/>
      <c r="O314" s="8"/>
      <c r="P314" s="7"/>
      <c r="Q314" s="7"/>
      <c r="R314" s="8"/>
      <c r="S314" s="7"/>
      <c r="T314" s="9"/>
      <c r="U314" s="7"/>
      <c r="V314" s="8"/>
      <c r="W314" s="7"/>
      <c r="X314" s="7"/>
      <c r="Y314" s="8"/>
      <c r="Z314" s="7"/>
      <c r="AA314" s="8"/>
    </row>
    <row r="315" spans="4:27" ht="14.25" thickTop="1" thickBot="1">
      <c r="D315" s="66"/>
      <c r="E315" s="52" t="s">
        <v>728</v>
      </c>
      <c r="F315" s="7"/>
      <c r="G315" s="8"/>
      <c r="H315" s="7"/>
      <c r="I315" s="6"/>
      <c r="J315" s="7"/>
      <c r="K315" s="8"/>
      <c r="L315" s="7"/>
      <c r="M315" s="8"/>
      <c r="N315" s="7"/>
      <c r="O315" s="8"/>
      <c r="P315" s="7"/>
      <c r="Q315" s="7"/>
      <c r="R315" s="8"/>
      <c r="S315" s="7"/>
      <c r="T315" s="9"/>
      <c r="U315" s="7"/>
      <c r="V315" s="8"/>
      <c r="W315" s="7"/>
      <c r="X315" s="7"/>
      <c r="Y315" s="8"/>
      <c r="Z315" s="7"/>
      <c r="AA315" s="8"/>
    </row>
    <row r="316" spans="4:27" ht="14.25" thickTop="1" thickBot="1">
      <c r="D316" s="66"/>
      <c r="E316" s="52" t="s">
        <v>707</v>
      </c>
      <c r="F316" s="7"/>
      <c r="G316" s="8"/>
      <c r="H316" s="7"/>
      <c r="I316" s="6"/>
      <c r="J316" s="7"/>
      <c r="K316" s="8"/>
      <c r="L316" s="7"/>
      <c r="M316" s="8"/>
      <c r="N316" s="7"/>
      <c r="O316" s="8"/>
      <c r="P316" s="7"/>
      <c r="Q316" s="7"/>
      <c r="R316" s="8"/>
      <c r="S316" s="7"/>
      <c r="T316" s="9"/>
      <c r="U316" s="7"/>
      <c r="V316" s="8"/>
      <c r="W316" s="7"/>
      <c r="X316" s="7"/>
      <c r="Y316" s="8"/>
      <c r="Z316" s="7"/>
      <c r="AA316" s="8"/>
    </row>
    <row r="317" spans="4:27" ht="14.25" thickTop="1" thickBot="1">
      <c r="D317" s="66"/>
      <c r="E317" s="52" t="s">
        <v>736</v>
      </c>
      <c r="F317" s="7"/>
      <c r="G317" s="8"/>
      <c r="H317" s="7"/>
      <c r="I317" s="6"/>
      <c r="J317" s="7"/>
      <c r="K317" s="8"/>
      <c r="L317" s="7"/>
      <c r="M317" s="8"/>
      <c r="N317" s="7"/>
      <c r="O317" s="8"/>
      <c r="P317" s="7"/>
      <c r="Q317" s="7"/>
      <c r="R317" s="8"/>
      <c r="S317" s="7"/>
      <c r="T317" s="9"/>
      <c r="U317" s="7"/>
      <c r="V317" s="8"/>
      <c r="W317" s="7"/>
      <c r="X317" s="7"/>
      <c r="Y317" s="8"/>
      <c r="Z317" s="7"/>
      <c r="AA317" s="8"/>
    </row>
    <row r="318" spans="4:27" ht="14.25" thickTop="1" thickBot="1">
      <c r="D318" s="66"/>
      <c r="E318" s="52" t="s">
        <v>969</v>
      </c>
      <c r="F318" s="7"/>
      <c r="G318" s="8"/>
      <c r="H318" s="7"/>
      <c r="I318" s="6"/>
      <c r="J318" s="7"/>
      <c r="K318" s="8"/>
      <c r="L318" s="7"/>
      <c r="M318" s="8"/>
      <c r="N318" s="7"/>
      <c r="O318" s="8"/>
      <c r="P318" s="7"/>
      <c r="Q318" s="7"/>
      <c r="R318" s="8"/>
      <c r="S318" s="7"/>
      <c r="T318" s="9"/>
      <c r="U318" s="7"/>
      <c r="V318" s="8"/>
      <c r="W318" s="7"/>
      <c r="X318" s="7"/>
      <c r="Y318" s="8"/>
      <c r="Z318" s="7"/>
      <c r="AA318" s="8"/>
    </row>
    <row r="319" spans="4:27" ht="14.25" thickTop="1" thickBot="1">
      <c r="D319" s="66"/>
      <c r="E319" s="52" t="s">
        <v>972</v>
      </c>
      <c r="F319" s="7"/>
      <c r="G319" s="8"/>
      <c r="H319" s="7"/>
      <c r="I319" s="6"/>
      <c r="J319" s="7"/>
      <c r="K319" s="8"/>
      <c r="L319" s="7"/>
      <c r="M319" s="8"/>
      <c r="N319" s="7"/>
      <c r="O319" s="8"/>
      <c r="P319" s="7"/>
      <c r="Q319" s="7"/>
      <c r="R319" s="8"/>
      <c r="S319" s="7"/>
      <c r="T319" s="9"/>
      <c r="U319" s="7"/>
      <c r="V319" s="8"/>
      <c r="W319" s="7"/>
      <c r="X319" s="7"/>
      <c r="Y319" s="8"/>
      <c r="Z319" s="7"/>
      <c r="AA319" s="8"/>
    </row>
    <row r="320" spans="4:27" ht="14.25" thickTop="1" thickBot="1">
      <c r="D320" s="66"/>
      <c r="E320" s="52" t="s">
        <v>718</v>
      </c>
      <c r="F320" s="7"/>
      <c r="G320" s="8"/>
      <c r="H320" s="7"/>
      <c r="I320" s="6"/>
      <c r="J320" s="7"/>
      <c r="K320" s="8"/>
      <c r="L320" s="7"/>
      <c r="M320" s="8"/>
      <c r="N320" s="7"/>
      <c r="O320" s="8"/>
      <c r="P320" s="7"/>
      <c r="Q320" s="7"/>
      <c r="R320" s="8"/>
      <c r="S320" s="7"/>
      <c r="T320" s="9"/>
      <c r="U320" s="7"/>
      <c r="V320" s="8"/>
      <c r="W320" s="7"/>
      <c r="X320" s="7"/>
      <c r="Y320" s="8"/>
      <c r="Z320" s="7"/>
      <c r="AA320" s="8"/>
    </row>
    <row r="321" spans="4:27" ht="14.25" thickTop="1" thickBot="1">
      <c r="D321" s="66"/>
      <c r="E321" s="52" t="s">
        <v>1121</v>
      </c>
      <c r="F321" s="7"/>
      <c r="G321" s="8"/>
      <c r="H321" s="7"/>
      <c r="I321" s="6"/>
      <c r="J321" s="7"/>
      <c r="K321" s="8"/>
      <c r="L321" s="7"/>
      <c r="M321" s="8"/>
      <c r="N321" s="7"/>
      <c r="O321" s="8"/>
      <c r="P321" s="7"/>
      <c r="Q321" s="7"/>
      <c r="R321" s="8"/>
      <c r="S321" s="7"/>
      <c r="T321" s="9"/>
      <c r="U321" s="7"/>
      <c r="V321" s="8"/>
      <c r="W321" s="7"/>
      <c r="X321" s="7"/>
      <c r="Y321" s="8"/>
      <c r="Z321" s="7"/>
      <c r="AA321" s="8"/>
    </row>
    <row r="322" spans="4:27" ht="14.25" thickTop="1" thickBot="1">
      <c r="D322" s="66"/>
      <c r="E322" s="52" t="s">
        <v>1274</v>
      </c>
      <c r="F322" s="7"/>
      <c r="G322" s="8"/>
      <c r="H322" s="7"/>
      <c r="I322" s="6"/>
      <c r="J322" s="7"/>
      <c r="K322" s="8"/>
      <c r="L322" s="7"/>
      <c r="M322" s="8"/>
      <c r="N322" s="7"/>
      <c r="O322" s="8"/>
      <c r="P322" s="7"/>
      <c r="Q322" s="7"/>
      <c r="R322" s="8"/>
      <c r="S322" s="7"/>
      <c r="T322" s="9"/>
      <c r="U322" s="7"/>
      <c r="V322" s="8"/>
      <c r="W322" s="7"/>
      <c r="X322" s="7"/>
      <c r="Y322" s="8"/>
      <c r="Z322" s="7"/>
      <c r="AA322" s="8"/>
    </row>
    <row r="323" spans="4:27" ht="14.25" thickTop="1" thickBot="1">
      <c r="D323" s="66"/>
      <c r="E323" s="52" t="s">
        <v>725</v>
      </c>
      <c r="F323" s="7"/>
      <c r="G323" s="8"/>
      <c r="H323" s="7"/>
      <c r="I323" s="6"/>
      <c r="J323" s="7"/>
      <c r="K323" s="8"/>
      <c r="L323" s="7"/>
      <c r="M323" s="8"/>
      <c r="N323" s="7"/>
      <c r="O323" s="8"/>
      <c r="P323" s="7"/>
      <c r="Q323" s="7"/>
      <c r="R323" s="8"/>
      <c r="S323" s="7"/>
      <c r="T323" s="9"/>
      <c r="U323" s="7"/>
      <c r="V323" s="8"/>
      <c r="W323" s="7"/>
      <c r="X323" s="7"/>
      <c r="Y323" s="8"/>
      <c r="Z323" s="7"/>
      <c r="AA323" s="8"/>
    </row>
    <row r="324" spans="4:27" ht="14.25" thickTop="1" thickBot="1">
      <c r="D324" s="66"/>
      <c r="E324" s="52" t="s">
        <v>1275</v>
      </c>
      <c r="F324" s="7"/>
      <c r="G324" s="8"/>
      <c r="H324" s="7"/>
      <c r="I324" s="6"/>
      <c r="J324" s="7"/>
      <c r="K324" s="8"/>
      <c r="L324" s="7"/>
      <c r="M324" s="8"/>
      <c r="N324" s="7"/>
      <c r="O324" s="8"/>
      <c r="P324" s="7"/>
      <c r="Q324" s="7"/>
      <c r="R324" s="8"/>
      <c r="S324" s="7"/>
      <c r="T324" s="9"/>
      <c r="U324" s="7"/>
      <c r="V324" s="8"/>
      <c r="W324" s="7"/>
      <c r="X324" s="7"/>
      <c r="Y324" s="8"/>
      <c r="Z324" s="7"/>
      <c r="AA324" s="8"/>
    </row>
    <row r="325" spans="4:27" ht="14.25" thickTop="1" thickBot="1">
      <c r="D325" s="66"/>
      <c r="E325" s="52" t="s">
        <v>989</v>
      </c>
      <c r="F325" s="7"/>
      <c r="G325" s="8"/>
      <c r="H325" s="7"/>
      <c r="I325" s="6"/>
      <c r="J325" s="7"/>
      <c r="K325" s="8"/>
      <c r="L325" s="7"/>
      <c r="M325" s="8"/>
      <c r="N325" s="7"/>
      <c r="O325" s="8"/>
      <c r="P325" s="7"/>
      <c r="Q325" s="7"/>
      <c r="R325" s="8"/>
      <c r="S325" s="7"/>
      <c r="T325" s="9"/>
      <c r="U325" s="7"/>
      <c r="V325" s="8"/>
      <c r="W325" s="7"/>
      <c r="X325" s="7"/>
      <c r="Y325" s="8"/>
      <c r="Z325" s="7"/>
      <c r="AA325" s="8"/>
    </row>
    <row r="326" spans="4:27" ht="14.25" thickTop="1" thickBot="1">
      <c r="D326" s="66"/>
      <c r="E326" s="52" t="s">
        <v>1096</v>
      </c>
      <c r="F326" s="7"/>
      <c r="G326" s="8"/>
      <c r="H326" s="7"/>
      <c r="I326" s="6"/>
      <c r="J326" s="7"/>
      <c r="K326" s="8"/>
      <c r="L326" s="7"/>
      <c r="M326" s="8"/>
      <c r="N326" s="7"/>
      <c r="O326" s="8"/>
      <c r="P326" s="7"/>
      <c r="Q326" s="7"/>
      <c r="R326" s="8"/>
      <c r="S326" s="7"/>
      <c r="T326" s="9"/>
      <c r="U326" s="7"/>
      <c r="V326" s="8"/>
      <c r="W326" s="7"/>
      <c r="X326" s="7"/>
      <c r="Y326" s="8"/>
      <c r="Z326" s="7"/>
      <c r="AA326" s="8"/>
    </row>
    <row r="327" spans="4:27" ht="14.25" thickTop="1" thickBot="1">
      <c r="D327" s="66"/>
      <c r="E327" s="52" t="s">
        <v>978</v>
      </c>
      <c r="F327" s="7"/>
      <c r="G327" s="8"/>
      <c r="H327" s="7"/>
      <c r="I327" s="6"/>
      <c r="J327" s="7"/>
      <c r="K327" s="8"/>
      <c r="L327" s="7"/>
      <c r="M327" s="8"/>
      <c r="N327" s="7"/>
      <c r="O327" s="8"/>
      <c r="P327" s="7"/>
      <c r="Q327" s="7"/>
      <c r="R327" s="8"/>
      <c r="S327" s="7"/>
      <c r="T327" s="9"/>
      <c r="U327" s="7"/>
      <c r="V327" s="8"/>
      <c r="W327" s="7"/>
      <c r="X327" s="7"/>
      <c r="Y327" s="8"/>
      <c r="Z327" s="7"/>
      <c r="AA327" s="8"/>
    </row>
    <row r="328" spans="4:27" ht="14.25" thickTop="1" thickBot="1">
      <c r="D328" s="66"/>
      <c r="E328" s="52" t="s">
        <v>1276</v>
      </c>
      <c r="F328" s="7"/>
      <c r="G328" s="8"/>
      <c r="H328" s="7"/>
      <c r="I328" s="6"/>
      <c r="J328" s="7"/>
      <c r="K328" s="8"/>
      <c r="L328" s="7"/>
      <c r="M328" s="8"/>
      <c r="N328" s="7"/>
      <c r="O328" s="8"/>
      <c r="P328" s="7"/>
      <c r="Q328" s="7"/>
      <c r="R328" s="8"/>
      <c r="S328" s="7"/>
      <c r="T328" s="9"/>
      <c r="U328" s="7"/>
      <c r="V328" s="8"/>
      <c r="W328" s="7"/>
      <c r="X328" s="7"/>
      <c r="Y328" s="8"/>
      <c r="Z328" s="7"/>
      <c r="AA328" s="8"/>
    </row>
    <row r="329" spans="4:27" ht="14.25" thickTop="1" thickBot="1">
      <c r="D329" s="66"/>
      <c r="E329" s="52" t="s">
        <v>1277</v>
      </c>
      <c r="F329" s="7"/>
      <c r="G329" s="8"/>
      <c r="H329" s="7"/>
      <c r="I329" s="6"/>
      <c r="J329" s="7"/>
      <c r="K329" s="8"/>
      <c r="L329" s="7"/>
      <c r="M329" s="8"/>
      <c r="N329" s="7"/>
      <c r="O329" s="8"/>
      <c r="P329" s="7"/>
      <c r="Q329" s="7"/>
      <c r="R329" s="8"/>
      <c r="S329" s="7"/>
      <c r="T329" s="9"/>
      <c r="U329" s="7"/>
      <c r="V329" s="8"/>
      <c r="W329" s="7"/>
      <c r="X329" s="7"/>
      <c r="Y329" s="8"/>
      <c r="Z329" s="7"/>
      <c r="AA329" s="8"/>
    </row>
    <row r="330" spans="4:27" ht="14.25" thickTop="1" thickBot="1">
      <c r="D330" s="66"/>
      <c r="E330" s="52" t="s">
        <v>40</v>
      </c>
      <c r="F330" s="7"/>
      <c r="G330" s="8"/>
      <c r="H330" s="7"/>
      <c r="I330" s="6"/>
      <c r="J330" s="7"/>
      <c r="K330" s="8"/>
      <c r="L330" s="7"/>
      <c r="M330" s="8"/>
      <c r="N330" s="7"/>
      <c r="O330" s="8"/>
      <c r="P330" s="7"/>
      <c r="Q330" s="7"/>
      <c r="R330" s="8"/>
      <c r="S330" s="7"/>
      <c r="T330" s="9"/>
      <c r="U330" s="7"/>
      <c r="V330" s="8"/>
      <c r="W330" s="7"/>
      <c r="X330" s="7"/>
      <c r="Y330" s="8"/>
      <c r="Z330" s="7"/>
      <c r="AA330" s="8"/>
    </row>
    <row r="331" spans="4:27" ht="14.25" thickTop="1" thickBot="1">
      <c r="D331" s="66"/>
      <c r="E331" s="52" t="s">
        <v>1278</v>
      </c>
      <c r="F331" s="7"/>
      <c r="G331" s="8"/>
      <c r="H331" s="7"/>
      <c r="I331" s="6"/>
      <c r="J331" s="7"/>
      <c r="K331" s="8"/>
      <c r="L331" s="7"/>
      <c r="M331" s="8"/>
      <c r="N331" s="7"/>
      <c r="O331" s="8"/>
      <c r="P331" s="7"/>
      <c r="Q331" s="7"/>
      <c r="R331" s="8"/>
      <c r="S331" s="7"/>
      <c r="T331" s="9"/>
      <c r="U331" s="7"/>
      <c r="V331" s="8"/>
      <c r="W331" s="7"/>
      <c r="X331" s="7"/>
      <c r="Y331" s="8"/>
      <c r="Z331" s="7"/>
      <c r="AA331" s="8"/>
    </row>
    <row r="332" spans="4:27" ht="14.25" thickTop="1" thickBot="1">
      <c r="D332" s="66"/>
      <c r="E332" s="52" t="s">
        <v>1279</v>
      </c>
      <c r="F332" s="7"/>
      <c r="G332" s="8"/>
      <c r="H332" s="7"/>
      <c r="I332" s="6"/>
      <c r="J332" s="7"/>
      <c r="K332" s="8"/>
      <c r="L332" s="7"/>
      <c r="M332" s="8"/>
      <c r="N332" s="7"/>
      <c r="O332" s="8"/>
      <c r="P332" s="7"/>
      <c r="Q332" s="7"/>
      <c r="R332" s="8"/>
      <c r="S332" s="7"/>
      <c r="T332" s="9"/>
      <c r="U332" s="7"/>
      <c r="V332" s="8"/>
      <c r="W332" s="7"/>
      <c r="X332" s="7"/>
      <c r="Y332" s="8"/>
      <c r="Z332" s="7"/>
      <c r="AA332" s="8"/>
    </row>
    <row r="333" spans="4:27" ht="14.25" thickTop="1" thickBot="1">
      <c r="D333" s="66"/>
      <c r="E333" s="52" t="s">
        <v>1115</v>
      </c>
      <c r="F333" s="7"/>
      <c r="G333" s="8"/>
      <c r="H333" s="7"/>
      <c r="I333" s="6"/>
      <c r="J333" s="7"/>
      <c r="K333" s="8"/>
      <c r="L333" s="7"/>
      <c r="M333" s="8"/>
      <c r="N333" s="7"/>
      <c r="O333" s="8"/>
      <c r="P333" s="7"/>
      <c r="Q333" s="7"/>
      <c r="R333" s="8"/>
      <c r="S333" s="7"/>
      <c r="T333" s="9"/>
      <c r="U333" s="7"/>
      <c r="V333" s="8"/>
      <c r="W333" s="7"/>
      <c r="X333" s="7"/>
      <c r="Y333" s="8"/>
      <c r="Z333" s="7"/>
      <c r="AA333" s="8"/>
    </row>
    <row r="334" spans="4:27" ht="14.25" thickTop="1" thickBot="1">
      <c r="D334" s="66"/>
      <c r="E334" s="52" t="s">
        <v>977</v>
      </c>
      <c r="F334" s="7"/>
      <c r="G334" s="8"/>
      <c r="H334" s="7"/>
      <c r="I334" s="6"/>
      <c r="J334" s="7"/>
      <c r="K334" s="8"/>
      <c r="L334" s="7"/>
      <c r="M334" s="8"/>
      <c r="N334" s="7"/>
      <c r="O334" s="8"/>
      <c r="P334" s="7"/>
      <c r="Q334" s="7"/>
      <c r="R334" s="8"/>
      <c r="S334" s="7"/>
      <c r="T334" s="9"/>
      <c r="U334" s="7"/>
      <c r="V334" s="8"/>
      <c r="W334" s="7"/>
      <c r="X334" s="7"/>
      <c r="Y334" s="8"/>
      <c r="Z334" s="7"/>
      <c r="AA334" s="8"/>
    </row>
    <row r="335" spans="4:27" ht="14.25" thickTop="1" thickBot="1">
      <c r="D335" s="66"/>
      <c r="E335" s="52" t="s">
        <v>1280</v>
      </c>
      <c r="F335" s="7"/>
      <c r="G335" s="8"/>
      <c r="H335" s="7"/>
      <c r="I335" s="6"/>
      <c r="J335" s="7"/>
      <c r="K335" s="8"/>
      <c r="L335" s="7"/>
      <c r="M335" s="8"/>
      <c r="N335" s="7"/>
      <c r="O335" s="8"/>
      <c r="P335" s="7"/>
      <c r="Q335" s="7"/>
      <c r="R335" s="8"/>
      <c r="S335" s="7"/>
      <c r="T335" s="9"/>
      <c r="U335" s="7"/>
      <c r="V335" s="8"/>
      <c r="W335" s="7"/>
      <c r="X335" s="7"/>
      <c r="Y335" s="8"/>
      <c r="Z335" s="7"/>
      <c r="AA335" s="8"/>
    </row>
    <row r="336" spans="4:27" ht="14.25" thickTop="1" thickBot="1">
      <c r="D336" s="66"/>
      <c r="E336" s="52" t="s">
        <v>997</v>
      </c>
      <c r="F336" s="7"/>
      <c r="G336" s="8"/>
      <c r="H336" s="7"/>
      <c r="I336" s="6"/>
      <c r="J336" s="7"/>
      <c r="K336" s="8"/>
      <c r="L336" s="7"/>
      <c r="M336" s="8"/>
      <c r="N336" s="7"/>
      <c r="O336" s="8"/>
      <c r="P336" s="7"/>
      <c r="Q336" s="7"/>
      <c r="R336" s="8"/>
      <c r="S336" s="7"/>
      <c r="T336" s="9"/>
      <c r="U336" s="7"/>
      <c r="V336" s="8"/>
      <c r="W336" s="7"/>
      <c r="X336" s="7"/>
      <c r="Y336" s="8"/>
      <c r="Z336" s="7"/>
      <c r="AA336" s="8"/>
    </row>
    <row r="337" spans="4:27" ht="14.25" thickTop="1" thickBot="1">
      <c r="D337" s="66"/>
      <c r="E337" s="52" t="s">
        <v>979</v>
      </c>
      <c r="F337" s="7"/>
      <c r="G337" s="8"/>
      <c r="H337" s="7"/>
      <c r="I337" s="6"/>
      <c r="J337" s="7"/>
      <c r="K337" s="8"/>
      <c r="L337" s="7"/>
      <c r="M337" s="8"/>
      <c r="N337" s="7"/>
      <c r="O337" s="8"/>
      <c r="P337" s="7"/>
      <c r="Q337" s="7"/>
      <c r="R337" s="8"/>
      <c r="S337" s="7"/>
      <c r="T337" s="9"/>
      <c r="U337" s="7"/>
      <c r="V337" s="8"/>
      <c r="W337" s="7"/>
      <c r="X337" s="7"/>
      <c r="Y337" s="8"/>
      <c r="Z337" s="7"/>
      <c r="AA337" s="8"/>
    </row>
    <row r="338" spans="4:27" ht="14.25" thickTop="1" thickBot="1">
      <c r="D338" s="66"/>
      <c r="E338" s="52" t="s">
        <v>735</v>
      </c>
      <c r="F338" s="7"/>
      <c r="G338" s="8"/>
      <c r="H338" s="7"/>
      <c r="I338" s="6"/>
      <c r="J338" s="7"/>
      <c r="K338" s="8"/>
      <c r="L338" s="7"/>
      <c r="M338" s="8"/>
      <c r="N338" s="7"/>
      <c r="O338" s="8"/>
      <c r="P338" s="7"/>
      <c r="Q338" s="7"/>
      <c r="R338" s="8"/>
      <c r="S338" s="7"/>
      <c r="T338" s="9"/>
      <c r="U338" s="7"/>
      <c r="V338" s="8"/>
      <c r="W338" s="7"/>
      <c r="X338" s="7"/>
      <c r="Y338" s="8"/>
      <c r="Z338" s="7"/>
      <c r="AA338" s="8"/>
    </row>
    <row r="339" spans="4:27" ht="14.25" thickTop="1" thickBot="1">
      <c r="D339" s="66"/>
      <c r="E339" s="52" t="s">
        <v>710</v>
      </c>
      <c r="F339" s="7"/>
      <c r="G339" s="8"/>
      <c r="H339" s="7"/>
      <c r="I339" s="6"/>
      <c r="J339" s="7"/>
      <c r="K339" s="8"/>
      <c r="L339" s="7"/>
      <c r="M339" s="8"/>
      <c r="N339" s="7"/>
      <c r="O339" s="8"/>
      <c r="P339" s="7"/>
      <c r="Q339" s="7"/>
      <c r="R339" s="8"/>
      <c r="S339" s="7"/>
      <c r="T339" s="9"/>
      <c r="U339" s="7"/>
      <c r="V339" s="8"/>
      <c r="W339" s="7"/>
      <c r="X339" s="7"/>
      <c r="Y339" s="8"/>
      <c r="Z339" s="7"/>
      <c r="AA339" s="8"/>
    </row>
    <row r="340" spans="4:27" ht="14.25" thickTop="1" thickBot="1">
      <c r="D340" s="66"/>
      <c r="E340" s="52" t="s">
        <v>147</v>
      </c>
      <c r="F340" s="7"/>
      <c r="G340" s="8"/>
      <c r="H340" s="7"/>
      <c r="I340" s="6"/>
      <c r="J340" s="7"/>
      <c r="K340" s="8"/>
      <c r="L340" s="7"/>
      <c r="M340" s="8"/>
      <c r="N340" s="7"/>
      <c r="O340" s="8"/>
      <c r="P340" s="7"/>
      <c r="Q340" s="7"/>
      <c r="R340" s="8"/>
      <c r="S340" s="7"/>
      <c r="T340" s="9"/>
      <c r="U340" s="7"/>
      <c r="V340" s="8"/>
      <c r="W340" s="7"/>
      <c r="X340" s="7"/>
      <c r="Y340" s="8"/>
      <c r="Z340" s="7"/>
      <c r="AA340" s="8"/>
    </row>
    <row r="341" spans="4:27" ht="14.25" thickTop="1" thickBot="1">
      <c r="D341" s="66"/>
      <c r="E341" s="52" t="s">
        <v>234</v>
      </c>
      <c r="F341" s="7"/>
      <c r="G341" s="8"/>
      <c r="H341" s="7"/>
      <c r="I341" s="6"/>
      <c r="J341" s="7"/>
      <c r="K341" s="8"/>
      <c r="L341" s="7"/>
      <c r="M341" s="8"/>
      <c r="N341" s="7"/>
      <c r="O341" s="8"/>
      <c r="P341" s="7"/>
      <c r="Q341" s="7"/>
      <c r="R341" s="8"/>
      <c r="S341" s="7"/>
      <c r="T341" s="9"/>
      <c r="U341" s="7"/>
      <c r="V341" s="8"/>
      <c r="W341" s="7"/>
      <c r="X341" s="7"/>
      <c r="Y341" s="8"/>
      <c r="Z341" s="7"/>
      <c r="AA341" s="8"/>
    </row>
    <row r="342" spans="4:27" ht="14.25" thickTop="1" thickBot="1">
      <c r="D342" s="66"/>
      <c r="E342" s="52" t="s">
        <v>148</v>
      </c>
      <c r="F342" s="7"/>
      <c r="G342" s="8"/>
      <c r="H342" s="7"/>
      <c r="I342" s="6"/>
      <c r="J342" s="7"/>
      <c r="K342" s="8"/>
      <c r="L342" s="7"/>
      <c r="M342" s="8"/>
      <c r="N342" s="7"/>
      <c r="O342" s="8"/>
      <c r="P342" s="7"/>
      <c r="Q342" s="7"/>
      <c r="R342" s="8"/>
      <c r="S342" s="7"/>
      <c r="T342" s="9"/>
      <c r="U342" s="7"/>
      <c r="V342" s="8"/>
      <c r="W342" s="7"/>
      <c r="X342" s="7"/>
      <c r="Y342" s="8"/>
      <c r="Z342" s="7"/>
      <c r="AA342" s="8"/>
    </row>
    <row r="343" spans="4:27" ht="14.25" thickTop="1" thickBot="1">
      <c r="D343" s="66"/>
      <c r="E343" s="52" t="s">
        <v>149</v>
      </c>
      <c r="F343" s="7"/>
      <c r="G343" s="8"/>
      <c r="H343" s="7"/>
      <c r="I343" s="6"/>
      <c r="J343" s="7"/>
      <c r="K343" s="8"/>
      <c r="L343" s="7"/>
      <c r="M343" s="8"/>
      <c r="N343" s="7"/>
      <c r="O343" s="8"/>
      <c r="P343" s="7"/>
      <c r="Q343" s="7"/>
      <c r="R343" s="8"/>
      <c r="S343" s="7"/>
      <c r="T343" s="9"/>
      <c r="U343" s="7"/>
      <c r="V343" s="8"/>
      <c r="W343" s="7"/>
      <c r="X343" s="7"/>
      <c r="Y343" s="8"/>
      <c r="Z343" s="7"/>
      <c r="AA343" s="8"/>
    </row>
    <row r="344" spans="4:27" ht="14.25" thickTop="1" thickBot="1">
      <c r="D344" s="66"/>
      <c r="E344" s="52" t="s">
        <v>150</v>
      </c>
      <c r="F344" s="7"/>
      <c r="G344" s="8"/>
      <c r="H344" s="7"/>
      <c r="I344" s="6"/>
      <c r="J344" s="7"/>
      <c r="K344" s="8"/>
      <c r="L344" s="7"/>
      <c r="M344" s="8"/>
      <c r="N344" s="7"/>
      <c r="O344" s="8"/>
      <c r="P344" s="7"/>
      <c r="Q344" s="7"/>
      <c r="R344" s="8"/>
      <c r="S344" s="7"/>
      <c r="T344" s="9"/>
      <c r="U344" s="7"/>
      <c r="V344" s="8"/>
      <c r="W344" s="7"/>
      <c r="X344" s="7"/>
      <c r="Y344" s="8"/>
      <c r="Z344" s="7"/>
      <c r="AA344" s="8"/>
    </row>
    <row r="345" spans="4:27" ht="14.25" thickTop="1" thickBot="1">
      <c r="D345" s="66"/>
      <c r="E345" s="52" t="s">
        <v>1042</v>
      </c>
      <c r="F345" s="7"/>
      <c r="G345" s="8"/>
      <c r="H345" s="7"/>
      <c r="I345" s="6"/>
      <c r="J345" s="7"/>
      <c r="K345" s="8"/>
      <c r="L345" s="7"/>
      <c r="M345" s="8"/>
      <c r="N345" s="7"/>
      <c r="O345" s="8"/>
      <c r="P345" s="7"/>
      <c r="Q345" s="7"/>
      <c r="R345" s="8"/>
      <c r="S345" s="7"/>
      <c r="T345" s="9"/>
      <c r="U345" s="7"/>
      <c r="V345" s="8"/>
      <c r="W345" s="7"/>
      <c r="X345" s="7"/>
      <c r="Y345" s="8"/>
      <c r="Z345" s="7"/>
      <c r="AA345" s="8"/>
    </row>
    <row r="346" spans="4:27" ht="14.25" thickTop="1" thickBot="1">
      <c r="D346" s="66"/>
      <c r="E346" s="52" t="s">
        <v>1034</v>
      </c>
      <c r="F346" s="7"/>
      <c r="G346" s="8"/>
      <c r="H346" s="7"/>
      <c r="I346" s="6"/>
      <c r="J346" s="7"/>
      <c r="K346" s="8"/>
      <c r="L346" s="7"/>
      <c r="M346" s="8"/>
      <c r="N346" s="7"/>
      <c r="O346" s="8"/>
      <c r="P346" s="7"/>
      <c r="Q346" s="7"/>
      <c r="R346" s="8"/>
      <c r="S346" s="7"/>
      <c r="T346" s="9"/>
      <c r="U346" s="7"/>
      <c r="V346" s="8"/>
      <c r="W346" s="7"/>
      <c r="X346" s="7"/>
      <c r="Y346" s="8"/>
      <c r="Z346" s="7"/>
      <c r="AA346" s="8"/>
    </row>
    <row r="347" spans="4:27" ht="14.25" thickTop="1" thickBot="1">
      <c r="D347" s="66"/>
      <c r="E347" s="52" t="s">
        <v>1030</v>
      </c>
      <c r="F347" s="7"/>
      <c r="G347" s="8"/>
      <c r="H347" s="7"/>
      <c r="I347" s="6"/>
      <c r="J347" s="7"/>
      <c r="K347" s="8"/>
      <c r="L347" s="7"/>
      <c r="M347" s="8"/>
      <c r="N347" s="7"/>
      <c r="O347" s="8"/>
      <c r="P347" s="7"/>
      <c r="Q347" s="7"/>
      <c r="R347" s="8"/>
      <c r="S347" s="7"/>
      <c r="T347" s="9"/>
      <c r="U347" s="7"/>
      <c r="V347" s="8"/>
      <c r="W347" s="7"/>
      <c r="X347" s="7"/>
      <c r="Y347" s="8"/>
      <c r="Z347" s="7"/>
      <c r="AA347" s="8"/>
    </row>
    <row r="348" spans="4:27" ht="14.25" thickTop="1" thickBot="1">
      <c r="D348" s="66"/>
      <c r="E348" s="52" t="s">
        <v>1281</v>
      </c>
      <c r="F348" s="7"/>
      <c r="G348" s="8"/>
      <c r="H348" s="7"/>
      <c r="I348" s="6"/>
      <c r="J348" s="7"/>
      <c r="K348" s="8"/>
      <c r="L348" s="7"/>
      <c r="M348" s="8"/>
      <c r="N348" s="7"/>
      <c r="O348" s="8"/>
      <c r="P348" s="7"/>
      <c r="Q348" s="7"/>
      <c r="R348" s="8"/>
      <c r="S348" s="7"/>
      <c r="T348" s="9"/>
      <c r="U348" s="7"/>
      <c r="V348" s="8"/>
      <c r="W348" s="7"/>
      <c r="X348" s="7"/>
      <c r="Y348" s="8"/>
      <c r="Z348" s="7"/>
      <c r="AA348" s="8"/>
    </row>
    <row r="349" spans="4:27" ht="14.25" thickTop="1" thickBot="1">
      <c r="D349" s="66"/>
      <c r="E349" s="52" t="s">
        <v>233</v>
      </c>
      <c r="F349" s="7"/>
      <c r="G349" s="8"/>
      <c r="H349" s="7"/>
      <c r="I349" s="6"/>
      <c r="J349" s="7"/>
      <c r="K349" s="8"/>
      <c r="L349" s="7"/>
      <c r="M349" s="8"/>
      <c r="N349" s="7"/>
      <c r="O349" s="8"/>
      <c r="P349" s="7"/>
      <c r="Q349" s="7"/>
      <c r="R349" s="8"/>
      <c r="S349" s="7"/>
      <c r="T349" s="9"/>
      <c r="U349" s="7"/>
      <c r="V349" s="8"/>
      <c r="W349" s="7"/>
      <c r="X349" s="7"/>
      <c r="Y349" s="8"/>
      <c r="Z349" s="7"/>
      <c r="AA349" s="8"/>
    </row>
    <row r="350" spans="4:27" ht="14.25" thickTop="1" thickBot="1">
      <c r="D350" s="66"/>
      <c r="E350" s="52" t="s">
        <v>200</v>
      </c>
      <c r="F350" s="7"/>
      <c r="G350" s="8"/>
      <c r="H350" s="7"/>
      <c r="I350" s="6"/>
      <c r="J350" s="7"/>
      <c r="K350" s="8"/>
      <c r="L350" s="7"/>
      <c r="M350" s="8"/>
      <c r="N350" s="7"/>
      <c r="O350" s="8"/>
      <c r="P350" s="7"/>
      <c r="Q350" s="7"/>
      <c r="R350" s="8"/>
      <c r="S350" s="7"/>
      <c r="T350" s="9"/>
      <c r="U350" s="7"/>
      <c r="V350" s="8"/>
      <c r="W350" s="7"/>
      <c r="X350" s="7"/>
      <c r="Y350" s="8"/>
      <c r="Z350" s="7"/>
      <c r="AA350" s="8"/>
    </row>
    <row r="351" spans="4:27" ht="14.25" thickTop="1" thickBot="1">
      <c r="D351" s="66"/>
      <c r="E351" s="52" t="s">
        <v>1021</v>
      </c>
      <c r="F351" s="7"/>
      <c r="G351" s="8"/>
      <c r="H351" s="7"/>
      <c r="I351" s="6"/>
      <c r="J351" s="7"/>
      <c r="K351" s="8"/>
      <c r="L351" s="7"/>
      <c r="M351" s="8"/>
      <c r="N351" s="7"/>
      <c r="O351" s="8"/>
      <c r="P351" s="7"/>
      <c r="Q351" s="7"/>
      <c r="R351" s="8"/>
      <c r="S351" s="7"/>
      <c r="T351" s="9"/>
      <c r="U351" s="7"/>
      <c r="V351" s="8"/>
      <c r="W351" s="7"/>
      <c r="X351" s="7"/>
      <c r="Y351" s="8"/>
      <c r="Z351" s="7"/>
      <c r="AA351" s="8"/>
    </row>
    <row r="352" spans="4:27" ht="14.25" thickTop="1" thickBot="1">
      <c r="D352" s="66"/>
      <c r="E352" s="52" t="s">
        <v>226</v>
      </c>
      <c r="F352" s="7"/>
      <c r="G352" s="8"/>
      <c r="H352" s="7"/>
      <c r="I352" s="6"/>
      <c r="J352" s="7"/>
      <c r="K352" s="8"/>
      <c r="L352" s="7"/>
      <c r="M352" s="8"/>
      <c r="N352" s="7"/>
      <c r="O352" s="8"/>
      <c r="P352" s="7"/>
      <c r="Q352" s="7"/>
      <c r="R352" s="8"/>
      <c r="S352" s="7"/>
      <c r="T352" s="9"/>
      <c r="U352" s="7"/>
      <c r="V352" s="8"/>
      <c r="W352" s="7"/>
      <c r="X352" s="7"/>
      <c r="Y352" s="8"/>
      <c r="Z352" s="7"/>
      <c r="AA352" s="8"/>
    </row>
    <row r="353" spans="4:27" ht="14.25" thickTop="1" thickBot="1">
      <c r="D353" s="66"/>
      <c r="E353" s="52" t="s">
        <v>211</v>
      </c>
      <c r="F353" s="7"/>
      <c r="G353" s="8"/>
      <c r="H353" s="7"/>
      <c r="I353" s="6"/>
      <c r="J353" s="7"/>
      <c r="K353" s="8"/>
      <c r="L353" s="7"/>
      <c r="M353" s="8"/>
      <c r="N353" s="7"/>
      <c r="O353" s="8"/>
      <c r="P353" s="7"/>
      <c r="Q353" s="7"/>
      <c r="R353" s="8"/>
      <c r="S353" s="7"/>
      <c r="T353" s="9"/>
      <c r="U353" s="7"/>
      <c r="V353" s="8"/>
      <c r="W353" s="7"/>
      <c r="X353" s="7"/>
      <c r="Y353" s="8"/>
      <c r="Z353" s="7"/>
      <c r="AA353" s="8"/>
    </row>
    <row r="354" spans="4:27" ht="14.25" thickTop="1" thickBot="1">
      <c r="D354" s="66"/>
      <c r="E354" s="52" t="s">
        <v>284</v>
      </c>
      <c r="F354" s="7"/>
      <c r="G354" s="8"/>
      <c r="H354" s="7"/>
      <c r="I354" s="6"/>
      <c r="J354" s="7"/>
      <c r="K354" s="8"/>
      <c r="L354" s="7"/>
      <c r="M354" s="8"/>
      <c r="N354" s="7"/>
      <c r="O354" s="8"/>
      <c r="P354" s="7"/>
      <c r="Q354" s="7"/>
      <c r="R354" s="8"/>
      <c r="S354" s="7"/>
      <c r="T354" s="9"/>
      <c r="U354" s="7"/>
      <c r="V354" s="8"/>
      <c r="W354" s="7"/>
      <c r="X354" s="7"/>
      <c r="Y354" s="8"/>
      <c r="Z354" s="7"/>
      <c r="AA354" s="8"/>
    </row>
    <row r="355" spans="4:27" ht="14.25" thickTop="1" thickBot="1">
      <c r="D355" s="66"/>
      <c r="E355" s="52" t="s">
        <v>201</v>
      </c>
      <c r="F355" s="7"/>
      <c r="G355" s="8"/>
      <c r="H355" s="7"/>
      <c r="I355" s="6"/>
      <c r="J355" s="7"/>
      <c r="K355" s="8"/>
      <c r="L355" s="7"/>
      <c r="M355" s="8"/>
      <c r="N355" s="7"/>
      <c r="O355" s="8"/>
      <c r="P355" s="7"/>
      <c r="Q355" s="7"/>
      <c r="R355" s="8"/>
      <c r="S355" s="7"/>
      <c r="T355" s="9"/>
      <c r="U355" s="7"/>
      <c r="V355" s="8"/>
      <c r="W355" s="7"/>
      <c r="X355" s="7"/>
      <c r="Y355" s="8"/>
      <c r="Z355" s="7"/>
      <c r="AA355" s="8"/>
    </row>
    <row r="356" spans="4:27" ht="14.25" thickTop="1" thickBot="1">
      <c r="D356" s="66"/>
      <c r="E356" s="52" t="s">
        <v>203</v>
      </c>
      <c r="F356" s="7"/>
      <c r="G356" s="8"/>
      <c r="H356" s="7"/>
      <c r="I356" s="6"/>
      <c r="J356" s="7"/>
      <c r="K356" s="8"/>
      <c r="L356" s="7"/>
      <c r="M356" s="8"/>
      <c r="N356" s="7"/>
      <c r="O356" s="8"/>
      <c r="P356" s="7"/>
      <c r="Q356" s="7"/>
      <c r="R356" s="8"/>
      <c r="S356" s="7"/>
      <c r="T356" s="9"/>
      <c r="U356" s="7"/>
      <c r="V356" s="8"/>
      <c r="W356" s="7"/>
      <c r="X356" s="7"/>
      <c r="Y356" s="8"/>
      <c r="Z356" s="7"/>
      <c r="AA356" s="8"/>
    </row>
    <row r="357" spans="4:27" ht="14.25" thickTop="1" thickBot="1">
      <c r="D357" s="66"/>
      <c r="E357" s="52" t="s">
        <v>1012</v>
      </c>
      <c r="F357" s="7"/>
      <c r="G357" s="8"/>
      <c r="H357" s="7"/>
      <c r="I357" s="6"/>
      <c r="J357" s="7"/>
      <c r="K357" s="8"/>
      <c r="L357" s="7"/>
      <c r="M357" s="8"/>
      <c r="N357" s="7"/>
      <c r="O357" s="8"/>
      <c r="P357" s="7"/>
      <c r="Q357" s="7"/>
      <c r="R357" s="8"/>
      <c r="S357" s="7"/>
      <c r="T357" s="9"/>
      <c r="U357" s="7"/>
      <c r="V357" s="8"/>
      <c r="W357" s="7"/>
      <c r="X357" s="7"/>
      <c r="Y357" s="8"/>
      <c r="Z357" s="7"/>
      <c r="AA357" s="8"/>
    </row>
    <row r="358" spans="4:27" ht="14.25" thickTop="1" thickBot="1">
      <c r="D358" s="66"/>
      <c r="E358" s="52" t="s">
        <v>275</v>
      </c>
      <c r="F358" s="7"/>
      <c r="G358" s="8"/>
      <c r="H358" s="7"/>
      <c r="I358" s="6"/>
      <c r="J358" s="7"/>
      <c r="K358" s="8"/>
      <c r="L358" s="7"/>
      <c r="M358" s="8"/>
      <c r="N358" s="7"/>
      <c r="O358" s="8"/>
      <c r="P358" s="7"/>
      <c r="Q358" s="7"/>
      <c r="R358" s="8"/>
      <c r="S358" s="7"/>
      <c r="T358" s="9"/>
      <c r="U358" s="7"/>
      <c r="V358" s="8"/>
      <c r="W358" s="7"/>
      <c r="X358" s="7"/>
      <c r="Y358" s="8"/>
      <c r="Z358" s="7"/>
      <c r="AA358" s="8"/>
    </row>
    <row r="359" spans="4:27" ht="14.25" thickTop="1" thickBot="1">
      <c r="D359" s="66"/>
      <c r="E359" s="52" t="s">
        <v>276</v>
      </c>
      <c r="F359" s="7"/>
      <c r="G359" s="8"/>
      <c r="H359" s="7"/>
      <c r="I359" s="6"/>
      <c r="J359" s="7"/>
      <c r="K359" s="8"/>
      <c r="L359" s="7"/>
      <c r="M359" s="8"/>
      <c r="N359" s="7"/>
      <c r="O359" s="8"/>
      <c r="P359" s="7"/>
      <c r="Q359" s="7"/>
      <c r="R359" s="8"/>
      <c r="S359" s="7"/>
      <c r="T359" s="9"/>
      <c r="U359" s="7"/>
      <c r="V359" s="8"/>
      <c r="W359" s="7"/>
      <c r="X359" s="7"/>
      <c r="Y359" s="8"/>
      <c r="Z359" s="7"/>
      <c r="AA359" s="8"/>
    </row>
    <row r="360" spans="4:27" ht="14.25" thickTop="1" thickBot="1">
      <c r="D360" s="66"/>
      <c r="E360" s="52" t="s">
        <v>1282</v>
      </c>
      <c r="F360" s="7"/>
      <c r="G360" s="8"/>
      <c r="H360" s="7"/>
      <c r="I360" s="6"/>
      <c r="J360" s="7"/>
      <c r="K360" s="8"/>
      <c r="L360" s="7"/>
      <c r="M360" s="8"/>
      <c r="N360" s="7"/>
      <c r="O360" s="8"/>
      <c r="P360" s="7"/>
      <c r="Q360" s="7"/>
      <c r="R360" s="8"/>
      <c r="S360" s="7"/>
      <c r="T360" s="9"/>
      <c r="U360" s="7"/>
      <c r="V360" s="8"/>
      <c r="W360" s="7"/>
      <c r="X360" s="7"/>
      <c r="Y360" s="8"/>
      <c r="Z360" s="7"/>
      <c r="AA360" s="8"/>
    </row>
    <row r="361" spans="4:27" ht="14.25" thickTop="1" thickBot="1">
      <c r="D361" s="66"/>
      <c r="E361" s="52" t="s">
        <v>1108</v>
      </c>
      <c r="F361" s="7"/>
      <c r="G361" s="8"/>
      <c r="H361" s="7"/>
      <c r="I361" s="6"/>
      <c r="J361" s="7"/>
      <c r="K361" s="8"/>
      <c r="L361" s="7"/>
      <c r="M361" s="8"/>
      <c r="N361" s="7"/>
      <c r="O361" s="8"/>
      <c r="P361" s="7"/>
      <c r="Q361" s="7"/>
      <c r="R361" s="8"/>
      <c r="S361" s="7"/>
      <c r="T361" s="9"/>
      <c r="U361" s="7"/>
      <c r="V361" s="8"/>
      <c r="W361" s="7"/>
      <c r="X361" s="7"/>
      <c r="Y361" s="8"/>
      <c r="Z361" s="7"/>
      <c r="AA361" s="8"/>
    </row>
    <row r="362" spans="4:27" ht="14.25" thickTop="1" thickBot="1">
      <c r="D362" s="66"/>
      <c r="E362" s="52" t="s">
        <v>1110</v>
      </c>
      <c r="F362" s="7"/>
      <c r="G362" s="8"/>
      <c r="H362" s="7"/>
      <c r="I362" s="6"/>
      <c r="J362" s="7"/>
      <c r="K362" s="8"/>
      <c r="L362" s="7"/>
      <c r="M362" s="8"/>
      <c r="N362" s="7"/>
      <c r="O362" s="8"/>
      <c r="P362" s="7"/>
      <c r="Q362" s="7"/>
      <c r="R362" s="8"/>
      <c r="S362" s="7"/>
      <c r="T362" s="9"/>
      <c r="U362" s="7"/>
      <c r="V362" s="8"/>
      <c r="W362" s="7"/>
      <c r="X362" s="7"/>
      <c r="Y362" s="8"/>
      <c r="Z362" s="7"/>
      <c r="AA362" s="8"/>
    </row>
    <row r="363" spans="4:27" ht="14.25" thickTop="1" thickBot="1">
      <c r="D363" s="66"/>
      <c r="E363" s="52" t="s">
        <v>1112</v>
      </c>
      <c r="F363" s="7"/>
      <c r="G363" s="8"/>
      <c r="H363" s="7"/>
      <c r="I363" s="6"/>
      <c r="J363" s="7"/>
      <c r="K363" s="8"/>
      <c r="L363" s="7"/>
      <c r="M363" s="8"/>
      <c r="N363" s="7"/>
      <c r="O363" s="8"/>
      <c r="P363" s="7"/>
      <c r="Q363" s="7"/>
      <c r="R363" s="8"/>
      <c r="S363" s="7"/>
      <c r="T363" s="9"/>
      <c r="U363" s="7"/>
      <c r="V363" s="8"/>
      <c r="W363" s="7"/>
      <c r="X363" s="7"/>
      <c r="Y363" s="8"/>
      <c r="Z363" s="7"/>
      <c r="AA363" s="8"/>
    </row>
    <row r="364" spans="4:27" ht="14.25" thickTop="1" thickBot="1">
      <c r="D364" s="66"/>
      <c r="E364" s="52" t="s">
        <v>1283</v>
      </c>
      <c r="F364" s="7"/>
      <c r="G364" s="8"/>
      <c r="H364" s="7"/>
      <c r="I364" s="6"/>
      <c r="J364" s="7"/>
      <c r="K364" s="8"/>
      <c r="L364" s="7"/>
      <c r="M364" s="8"/>
      <c r="N364" s="7"/>
      <c r="O364" s="8"/>
      <c r="P364" s="7"/>
      <c r="Q364" s="7"/>
      <c r="R364" s="8"/>
      <c r="S364" s="7"/>
      <c r="T364" s="9"/>
      <c r="U364" s="7"/>
      <c r="V364" s="8"/>
      <c r="W364" s="7"/>
      <c r="X364" s="7"/>
      <c r="Y364" s="8"/>
      <c r="Z364" s="7"/>
      <c r="AA364" s="8"/>
    </row>
    <row r="365" spans="4:27" ht="14.25" thickTop="1" thickBot="1">
      <c r="D365" s="66"/>
      <c r="E365" s="52" t="s">
        <v>1113</v>
      </c>
      <c r="F365" s="7"/>
      <c r="G365" s="8"/>
      <c r="H365" s="7"/>
      <c r="I365" s="6"/>
      <c r="J365" s="7"/>
      <c r="K365" s="8"/>
      <c r="L365" s="7"/>
      <c r="M365" s="8"/>
      <c r="N365" s="7"/>
      <c r="O365" s="8"/>
      <c r="P365" s="7"/>
      <c r="Q365" s="7"/>
      <c r="R365" s="8"/>
      <c r="S365" s="7"/>
      <c r="T365" s="9"/>
      <c r="U365" s="7"/>
      <c r="V365" s="8"/>
      <c r="W365" s="7"/>
      <c r="X365" s="7"/>
      <c r="Y365" s="8"/>
      <c r="Z365" s="7"/>
      <c r="AA365" s="8"/>
    </row>
    <row r="366" spans="4:27" ht="14.25" thickTop="1" thickBot="1">
      <c r="D366" s="66"/>
      <c r="E366" s="52" t="s">
        <v>1284</v>
      </c>
      <c r="F366" s="7"/>
      <c r="G366" s="8"/>
      <c r="H366" s="7"/>
      <c r="I366" s="6"/>
      <c r="J366" s="7"/>
      <c r="K366" s="8"/>
      <c r="L366" s="7"/>
      <c r="M366" s="8"/>
      <c r="N366" s="7"/>
      <c r="O366" s="8"/>
      <c r="P366" s="7"/>
      <c r="Q366" s="7"/>
      <c r="R366" s="8"/>
      <c r="S366" s="7"/>
      <c r="T366" s="9"/>
      <c r="U366" s="7"/>
      <c r="V366" s="8"/>
      <c r="W366" s="7"/>
      <c r="X366" s="7"/>
      <c r="Y366" s="8"/>
      <c r="Z366" s="7"/>
      <c r="AA366" s="8"/>
    </row>
    <row r="367" spans="4:27" ht="14.25" thickTop="1" thickBot="1">
      <c r="D367" s="66"/>
      <c r="E367" s="52" t="s">
        <v>1018</v>
      </c>
      <c r="F367" s="7"/>
      <c r="G367" s="8"/>
      <c r="H367" s="7"/>
      <c r="I367" s="6"/>
      <c r="J367" s="7"/>
      <c r="K367" s="8"/>
      <c r="L367" s="7"/>
      <c r="M367" s="8"/>
      <c r="N367" s="7"/>
      <c r="O367" s="8"/>
      <c r="P367" s="7"/>
      <c r="Q367" s="7"/>
      <c r="R367" s="8"/>
      <c r="S367" s="7"/>
      <c r="T367" s="9"/>
      <c r="U367" s="7"/>
      <c r="V367" s="8"/>
      <c r="W367" s="7"/>
      <c r="X367" s="7"/>
      <c r="Y367" s="8"/>
      <c r="Z367" s="7"/>
      <c r="AA367" s="8"/>
    </row>
    <row r="368" spans="4:27" ht="14.25" thickTop="1" thickBot="1">
      <c r="D368" s="66"/>
      <c r="E368" s="52" t="s">
        <v>204</v>
      </c>
      <c r="F368" s="7"/>
      <c r="G368" s="8"/>
      <c r="H368" s="7"/>
      <c r="I368" s="6"/>
      <c r="J368" s="7"/>
      <c r="K368" s="8"/>
      <c r="L368" s="7"/>
      <c r="M368" s="8"/>
      <c r="N368" s="7"/>
      <c r="O368" s="8"/>
      <c r="P368" s="7"/>
      <c r="Q368" s="7"/>
      <c r="R368" s="8"/>
      <c r="S368" s="7"/>
      <c r="T368" s="9"/>
      <c r="U368" s="7"/>
      <c r="V368" s="8"/>
      <c r="W368" s="7"/>
      <c r="X368" s="7"/>
      <c r="Y368" s="8"/>
      <c r="Z368" s="7"/>
      <c r="AA368" s="8"/>
    </row>
    <row r="369" spans="4:27" ht="14.25" thickTop="1" thickBot="1">
      <c r="D369" s="66"/>
      <c r="E369" s="52" t="s">
        <v>281</v>
      </c>
      <c r="F369" s="7"/>
      <c r="G369" s="8"/>
      <c r="H369" s="7"/>
      <c r="I369" s="6"/>
      <c r="J369" s="7"/>
      <c r="K369" s="8"/>
      <c r="L369" s="7"/>
      <c r="M369" s="8"/>
      <c r="N369" s="7"/>
      <c r="O369" s="8"/>
      <c r="P369" s="7"/>
      <c r="Q369" s="7"/>
      <c r="R369" s="8"/>
      <c r="S369" s="7"/>
      <c r="T369" s="9"/>
      <c r="U369" s="7"/>
      <c r="V369" s="8"/>
      <c r="W369" s="7"/>
      <c r="X369" s="7"/>
      <c r="Y369" s="8"/>
      <c r="Z369" s="7"/>
      <c r="AA369" s="8"/>
    </row>
    <row r="370" spans="4:27" ht="14.25" thickTop="1" thickBot="1">
      <c r="D370" s="66"/>
      <c r="E370" s="52" t="s">
        <v>1016</v>
      </c>
      <c r="F370" s="7"/>
      <c r="G370" s="8"/>
      <c r="H370" s="7"/>
      <c r="I370" s="6"/>
      <c r="J370" s="7"/>
      <c r="K370" s="8"/>
      <c r="L370" s="7"/>
      <c r="M370" s="8"/>
      <c r="N370" s="7"/>
      <c r="O370" s="8"/>
      <c r="P370" s="7"/>
      <c r="Q370" s="7"/>
      <c r="R370" s="8"/>
      <c r="S370" s="7"/>
      <c r="T370" s="9"/>
      <c r="U370" s="7"/>
      <c r="V370" s="8"/>
      <c r="W370" s="7"/>
      <c r="X370" s="7"/>
      <c r="Y370" s="8"/>
      <c r="Z370" s="7"/>
      <c r="AA370" s="8"/>
    </row>
    <row r="371" spans="4:27" ht="14.25" thickTop="1" thickBot="1">
      <c r="D371" s="66"/>
      <c r="E371" s="52" t="s">
        <v>205</v>
      </c>
      <c r="F371" s="7"/>
      <c r="G371" s="8"/>
      <c r="H371" s="7"/>
      <c r="I371" s="6"/>
      <c r="J371" s="7"/>
      <c r="K371" s="8"/>
      <c r="L371" s="7"/>
      <c r="M371" s="8"/>
      <c r="N371" s="7"/>
      <c r="O371" s="8"/>
      <c r="P371" s="7"/>
      <c r="Q371" s="7"/>
      <c r="R371" s="8"/>
      <c r="S371" s="7"/>
      <c r="T371" s="9"/>
      <c r="U371" s="7"/>
      <c r="V371" s="8"/>
      <c r="W371" s="7"/>
      <c r="X371" s="7"/>
      <c r="Y371" s="8"/>
      <c r="Z371" s="7"/>
      <c r="AA371" s="8"/>
    </row>
    <row r="372" spans="4:27" ht="14.25" thickTop="1" thickBot="1">
      <c r="D372" s="66"/>
      <c r="E372" s="52" t="s">
        <v>207</v>
      </c>
      <c r="F372" s="7"/>
      <c r="G372" s="8"/>
      <c r="H372" s="7"/>
      <c r="I372" s="6"/>
      <c r="J372" s="7"/>
      <c r="K372" s="8"/>
      <c r="L372" s="7"/>
      <c r="M372" s="8"/>
      <c r="N372" s="7"/>
      <c r="O372" s="8"/>
      <c r="P372" s="7"/>
      <c r="Q372" s="7"/>
      <c r="R372" s="8"/>
      <c r="S372" s="7"/>
      <c r="T372" s="9"/>
      <c r="U372" s="7"/>
      <c r="V372" s="8"/>
      <c r="W372" s="7"/>
      <c r="X372" s="7"/>
      <c r="Y372" s="8"/>
      <c r="Z372" s="7"/>
      <c r="AA372" s="8"/>
    </row>
    <row r="373" spans="4:27" ht="14.25" thickTop="1" thickBot="1">
      <c r="D373" s="66"/>
      <c r="E373" s="52" t="s">
        <v>1005</v>
      </c>
      <c r="F373" s="7"/>
      <c r="G373" s="8"/>
      <c r="H373" s="7"/>
      <c r="I373" s="6"/>
      <c r="J373" s="7"/>
      <c r="K373" s="8"/>
      <c r="L373" s="7"/>
      <c r="M373" s="8"/>
      <c r="N373" s="7"/>
      <c r="O373" s="8"/>
      <c r="P373" s="7"/>
      <c r="Q373" s="7"/>
      <c r="R373" s="8"/>
      <c r="S373" s="7"/>
      <c r="T373" s="9"/>
      <c r="U373" s="7"/>
      <c r="V373" s="8"/>
      <c r="W373" s="7"/>
      <c r="X373" s="7"/>
      <c r="Y373" s="8"/>
      <c r="Z373" s="7"/>
      <c r="AA373" s="8"/>
    </row>
    <row r="374" spans="4:27" ht="14.25" thickTop="1" thickBot="1">
      <c r="D374" s="66"/>
      <c r="E374" s="52" t="s">
        <v>1014</v>
      </c>
      <c r="F374" s="7"/>
      <c r="G374" s="8"/>
      <c r="H374" s="7"/>
      <c r="I374" s="6"/>
      <c r="J374" s="7"/>
      <c r="K374" s="8"/>
      <c r="L374" s="7"/>
      <c r="M374" s="8"/>
      <c r="N374" s="7"/>
      <c r="O374" s="8"/>
      <c r="P374" s="7"/>
      <c r="Q374" s="7"/>
      <c r="R374" s="8"/>
      <c r="S374" s="7"/>
      <c r="T374" s="9"/>
      <c r="U374" s="7"/>
      <c r="V374" s="8"/>
      <c r="W374" s="7"/>
      <c r="X374" s="7"/>
      <c r="Y374" s="8"/>
      <c r="Z374" s="7"/>
      <c r="AA374" s="8"/>
    </row>
    <row r="375" spans="4:27" ht="14.25" thickTop="1" thickBot="1">
      <c r="D375" s="66"/>
      <c r="E375" s="52" t="s">
        <v>289</v>
      </c>
      <c r="F375" s="7"/>
      <c r="G375" s="8"/>
      <c r="H375" s="7"/>
      <c r="I375" s="6"/>
      <c r="J375" s="7"/>
      <c r="K375" s="8"/>
      <c r="L375" s="7"/>
      <c r="M375" s="8"/>
      <c r="N375" s="7"/>
      <c r="O375" s="8"/>
      <c r="P375" s="7"/>
      <c r="Q375" s="7"/>
      <c r="R375" s="8"/>
      <c r="S375" s="7"/>
      <c r="T375" s="9"/>
      <c r="U375" s="7"/>
      <c r="V375" s="8"/>
      <c r="W375" s="7"/>
      <c r="X375" s="7"/>
      <c r="Y375" s="8"/>
      <c r="Z375" s="7"/>
      <c r="AA375" s="8"/>
    </row>
    <row r="376" spans="4:27" ht="14.25" thickTop="1" thickBot="1">
      <c r="D376" s="66"/>
      <c r="E376" s="52" t="s">
        <v>1007</v>
      </c>
      <c r="F376" s="7"/>
      <c r="G376" s="8"/>
      <c r="H376" s="7"/>
      <c r="I376" s="6"/>
      <c r="J376" s="7"/>
      <c r="K376" s="8"/>
      <c r="L376" s="7"/>
      <c r="M376" s="8"/>
      <c r="N376" s="7"/>
      <c r="O376" s="8"/>
      <c r="P376" s="7"/>
      <c r="Q376" s="7"/>
      <c r="R376" s="8"/>
      <c r="S376" s="7"/>
      <c r="T376" s="9"/>
      <c r="U376" s="7"/>
      <c r="V376" s="8"/>
      <c r="W376" s="7"/>
      <c r="X376" s="7"/>
      <c r="Y376" s="8"/>
      <c r="Z376" s="7"/>
      <c r="AA376" s="8"/>
    </row>
    <row r="377" spans="4:27" ht="14.25" thickTop="1" thickBot="1">
      <c r="D377" s="66"/>
      <c r="E377" s="52" t="s">
        <v>1285</v>
      </c>
      <c r="F377" s="7"/>
      <c r="G377" s="8"/>
      <c r="H377" s="7"/>
      <c r="I377" s="6"/>
      <c r="J377" s="7"/>
      <c r="K377" s="8"/>
      <c r="L377" s="7"/>
      <c r="M377" s="8"/>
      <c r="N377" s="7"/>
      <c r="O377" s="8"/>
      <c r="P377" s="7"/>
      <c r="Q377" s="7"/>
      <c r="R377" s="8"/>
      <c r="S377" s="7"/>
      <c r="T377" s="9"/>
      <c r="U377" s="7"/>
      <c r="V377" s="8"/>
      <c r="W377" s="7"/>
      <c r="X377" s="7"/>
      <c r="Y377" s="8"/>
      <c r="Z377" s="7"/>
      <c r="AA377" s="8"/>
    </row>
    <row r="378" spans="4:27" ht="14.25" thickTop="1" thickBot="1">
      <c r="D378" s="66"/>
      <c r="E378" s="52" t="s">
        <v>1128</v>
      </c>
      <c r="F378" s="7"/>
      <c r="G378" s="8"/>
      <c r="H378" s="7"/>
      <c r="I378" s="6"/>
      <c r="J378" s="7"/>
      <c r="K378" s="8"/>
      <c r="L378" s="7"/>
      <c r="M378" s="8"/>
      <c r="N378" s="7"/>
      <c r="O378" s="8"/>
      <c r="P378" s="7"/>
      <c r="Q378" s="7"/>
      <c r="R378" s="8"/>
      <c r="S378" s="7"/>
      <c r="T378" s="9"/>
      <c r="U378" s="7"/>
      <c r="V378" s="8"/>
      <c r="W378" s="7"/>
      <c r="X378" s="7"/>
      <c r="Y378" s="8"/>
      <c r="Z378" s="7"/>
      <c r="AA378" s="8"/>
    </row>
    <row r="379" spans="4:27" ht="14.25" thickTop="1" thickBot="1">
      <c r="D379" s="66"/>
      <c r="E379" s="52" t="s">
        <v>1129</v>
      </c>
      <c r="F379" s="7"/>
      <c r="G379" s="8"/>
      <c r="H379" s="7"/>
      <c r="I379" s="6"/>
      <c r="J379" s="7"/>
      <c r="K379" s="8"/>
      <c r="L379" s="7"/>
      <c r="M379" s="8"/>
      <c r="N379" s="7"/>
      <c r="O379" s="8"/>
      <c r="P379" s="7"/>
      <c r="Q379" s="7"/>
      <c r="R379" s="8"/>
      <c r="S379" s="7"/>
      <c r="T379" s="9"/>
      <c r="U379" s="7"/>
      <c r="V379" s="8"/>
      <c r="W379" s="7"/>
      <c r="X379" s="7"/>
      <c r="Y379" s="8"/>
      <c r="Z379" s="7"/>
      <c r="AA379" s="8"/>
    </row>
    <row r="380" spans="4:27" ht="14.25" thickTop="1" thickBot="1">
      <c r="D380" s="66"/>
      <c r="E380" s="52" t="s">
        <v>1130</v>
      </c>
      <c r="F380" s="7"/>
      <c r="G380" s="8"/>
      <c r="H380" s="7"/>
      <c r="I380" s="6"/>
      <c r="J380" s="7"/>
      <c r="K380" s="8"/>
      <c r="L380" s="7"/>
      <c r="M380" s="8"/>
      <c r="N380" s="7"/>
      <c r="O380" s="8"/>
      <c r="P380" s="7"/>
      <c r="Q380" s="7"/>
      <c r="R380" s="8"/>
      <c r="S380" s="7"/>
      <c r="T380" s="9"/>
      <c r="U380" s="7"/>
      <c r="V380" s="8"/>
      <c r="W380" s="7"/>
      <c r="X380" s="7"/>
      <c r="Y380" s="8"/>
      <c r="Z380" s="7"/>
      <c r="AA380" s="8"/>
    </row>
    <row r="381" spans="4:27" ht="14.25" thickTop="1" thickBot="1">
      <c r="D381" s="66"/>
      <c r="E381" s="52" t="s">
        <v>1131</v>
      </c>
      <c r="F381" s="7"/>
      <c r="G381" s="8"/>
      <c r="H381" s="7"/>
      <c r="I381" s="6"/>
      <c r="J381" s="7"/>
      <c r="K381" s="8"/>
      <c r="L381" s="7"/>
      <c r="M381" s="8"/>
      <c r="N381" s="7"/>
      <c r="O381" s="8"/>
      <c r="P381" s="7"/>
      <c r="Q381" s="7"/>
      <c r="R381" s="8"/>
      <c r="S381" s="7"/>
      <c r="T381" s="9"/>
      <c r="U381" s="7"/>
      <c r="V381" s="8"/>
      <c r="W381" s="7"/>
      <c r="X381" s="7"/>
      <c r="Y381" s="8"/>
      <c r="Z381" s="7"/>
      <c r="AA381" s="8"/>
    </row>
    <row r="382" spans="4:27" ht="14.25" thickTop="1" thickBot="1">
      <c r="D382" s="66"/>
      <c r="E382" s="52" t="s">
        <v>1132</v>
      </c>
      <c r="F382" s="7"/>
      <c r="G382" s="8"/>
      <c r="H382" s="7"/>
      <c r="I382" s="6"/>
      <c r="J382" s="7"/>
      <c r="K382" s="8"/>
      <c r="L382" s="7"/>
      <c r="M382" s="8"/>
      <c r="N382" s="7"/>
      <c r="O382" s="8"/>
      <c r="P382" s="7"/>
      <c r="Q382" s="7"/>
      <c r="R382" s="8"/>
      <c r="S382" s="7"/>
      <c r="T382" s="9"/>
      <c r="U382" s="7"/>
      <c r="V382" s="8"/>
      <c r="W382" s="7"/>
      <c r="X382" s="7"/>
      <c r="Y382" s="8"/>
      <c r="Z382" s="7"/>
      <c r="AA382" s="8"/>
    </row>
    <row r="383" spans="4:27" ht="14.25" thickTop="1" thickBot="1">
      <c r="D383" s="66"/>
      <c r="E383" s="52" t="s">
        <v>1133</v>
      </c>
      <c r="F383" s="7"/>
      <c r="G383" s="8"/>
      <c r="H383" s="7"/>
      <c r="I383" s="6"/>
      <c r="J383" s="7"/>
      <c r="K383" s="8"/>
      <c r="L383" s="7"/>
      <c r="M383" s="8"/>
      <c r="N383" s="7"/>
      <c r="O383" s="8"/>
      <c r="P383" s="7"/>
      <c r="Q383" s="7"/>
      <c r="R383" s="8"/>
      <c r="S383" s="7"/>
      <c r="T383" s="9"/>
      <c r="U383" s="7"/>
      <c r="V383" s="8"/>
      <c r="W383" s="7"/>
      <c r="X383" s="7"/>
      <c r="Y383" s="8"/>
      <c r="Z383" s="7"/>
      <c r="AA383" s="8"/>
    </row>
    <row r="384" spans="4:27" ht="14.25" thickTop="1" thickBot="1">
      <c r="D384" s="66"/>
      <c r="E384" s="52" t="s">
        <v>1023</v>
      </c>
      <c r="F384" s="7"/>
      <c r="G384" s="8"/>
      <c r="H384" s="7"/>
      <c r="I384" s="6"/>
      <c r="J384" s="7"/>
      <c r="K384" s="8"/>
      <c r="L384" s="7"/>
      <c r="M384" s="8"/>
      <c r="N384" s="7"/>
      <c r="O384" s="8"/>
      <c r="P384" s="7"/>
      <c r="Q384" s="7"/>
      <c r="R384" s="8"/>
      <c r="S384" s="7"/>
      <c r="T384" s="9"/>
      <c r="U384" s="7"/>
      <c r="V384" s="8"/>
      <c r="W384" s="7"/>
      <c r="X384" s="7"/>
      <c r="Y384" s="8"/>
      <c r="Z384" s="7"/>
      <c r="AA384" s="8"/>
    </row>
    <row r="385" spans="4:27" ht="14.25" thickTop="1" thickBot="1">
      <c r="D385" s="66"/>
      <c r="E385" s="52" t="s">
        <v>1020</v>
      </c>
      <c r="F385" s="7"/>
      <c r="G385" s="8"/>
      <c r="H385" s="7"/>
      <c r="I385" s="6"/>
      <c r="J385" s="7"/>
      <c r="K385" s="8"/>
      <c r="L385" s="7"/>
      <c r="M385" s="8"/>
      <c r="N385" s="7"/>
      <c r="O385" s="8"/>
      <c r="P385" s="7"/>
      <c r="Q385" s="7"/>
      <c r="R385" s="8"/>
      <c r="S385" s="7"/>
      <c r="T385" s="9"/>
      <c r="U385" s="7"/>
      <c r="V385" s="8"/>
      <c r="W385" s="7"/>
      <c r="X385" s="7"/>
      <c r="Y385" s="8"/>
      <c r="Z385" s="7"/>
      <c r="AA385" s="8"/>
    </row>
    <row r="386" spans="4:27" ht="14.25" thickTop="1" thickBot="1">
      <c r="D386" s="66"/>
      <c r="E386" s="52" t="s">
        <v>746</v>
      </c>
      <c r="F386" s="7"/>
      <c r="G386" s="8"/>
      <c r="H386" s="7"/>
      <c r="I386" s="6"/>
      <c r="J386" s="7"/>
      <c r="K386" s="8"/>
      <c r="L386" s="7"/>
      <c r="M386" s="8"/>
      <c r="N386" s="7"/>
      <c r="O386" s="8"/>
      <c r="P386" s="7"/>
      <c r="Q386" s="7"/>
      <c r="R386" s="8"/>
      <c r="S386" s="7"/>
      <c r="T386" s="9"/>
      <c r="U386" s="7"/>
      <c r="V386" s="8"/>
      <c r="W386" s="7"/>
      <c r="X386" s="7"/>
      <c r="Y386" s="8"/>
      <c r="Z386" s="7"/>
      <c r="AA386" s="8"/>
    </row>
    <row r="387" spans="4:27" ht="14.25" thickTop="1" thickBot="1">
      <c r="D387" s="66"/>
      <c r="E387" s="52" t="s">
        <v>994</v>
      </c>
      <c r="F387" s="7"/>
      <c r="G387" s="8"/>
      <c r="H387" s="7"/>
      <c r="I387" s="6"/>
      <c r="J387" s="7"/>
      <c r="K387" s="8"/>
      <c r="L387" s="7"/>
      <c r="M387" s="8"/>
      <c r="N387" s="7"/>
      <c r="O387" s="8"/>
      <c r="P387" s="7"/>
      <c r="Q387" s="7"/>
      <c r="R387" s="8"/>
      <c r="S387" s="7"/>
      <c r="T387" s="9"/>
      <c r="U387" s="7"/>
      <c r="V387" s="8"/>
      <c r="W387" s="7"/>
      <c r="X387" s="7"/>
      <c r="Y387" s="8"/>
      <c r="Z387" s="7"/>
      <c r="AA387" s="8"/>
    </row>
    <row r="388" spans="4:27" ht="14.25" thickTop="1" thickBot="1">
      <c r="D388" s="66"/>
      <c r="E388" s="52" t="s">
        <v>992</v>
      </c>
      <c r="F388" s="7"/>
      <c r="G388" s="8"/>
      <c r="H388" s="7"/>
      <c r="I388" s="6"/>
      <c r="J388" s="7"/>
      <c r="K388" s="8"/>
      <c r="L388" s="7"/>
      <c r="M388" s="8"/>
      <c r="N388" s="7"/>
      <c r="O388" s="8"/>
      <c r="P388" s="7"/>
      <c r="Q388" s="7"/>
      <c r="R388" s="8"/>
      <c r="S388" s="7"/>
      <c r="T388" s="9"/>
      <c r="U388" s="7"/>
      <c r="V388" s="8"/>
      <c r="W388" s="7"/>
      <c r="X388" s="7"/>
      <c r="Y388" s="8"/>
      <c r="Z388" s="7"/>
      <c r="AA388" s="8"/>
    </row>
    <row r="389" spans="4:27" ht="14.25" thickTop="1" thickBot="1">
      <c r="D389" s="66"/>
      <c r="E389" s="52" t="s">
        <v>990</v>
      </c>
      <c r="F389" s="7"/>
      <c r="G389" s="8"/>
      <c r="H389" s="7"/>
      <c r="I389" s="6"/>
      <c r="J389" s="7"/>
      <c r="K389" s="8"/>
      <c r="L389" s="7"/>
      <c r="M389" s="8"/>
      <c r="N389" s="7"/>
      <c r="O389" s="8"/>
      <c r="P389" s="7"/>
      <c r="Q389" s="7"/>
      <c r="R389" s="8"/>
      <c r="S389" s="7"/>
      <c r="T389" s="9"/>
      <c r="U389" s="7"/>
      <c r="V389" s="8"/>
      <c r="W389" s="7"/>
      <c r="X389" s="7"/>
      <c r="Y389" s="8"/>
      <c r="Z389" s="7"/>
      <c r="AA389" s="8"/>
    </row>
    <row r="390" spans="4:27" ht="14.25" thickTop="1" thickBot="1">
      <c r="D390" s="66"/>
      <c r="E390" s="52" t="s">
        <v>991</v>
      </c>
      <c r="F390" s="7"/>
      <c r="G390" s="8"/>
      <c r="H390" s="7"/>
      <c r="I390" s="6"/>
      <c r="J390" s="7"/>
      <c r="K390" s="8"/>
      <c r="L390" s="7"/>
      <c r="M390" s="8"/>
      <c r="N390" s="7"/>
      <c r="O390" s="8"/>
      <c r="P390" s="7"/>
      <c r="Q390" s="7"/>
      <c r="R390" s="8"/>
      <c r="S390" s="7"/>
      <c r="T390" s="9"/>
      <c r="U390" s="7"/>
      <c r="V390" s="8"/>
      <c r="W390" s="7"/>
      <c r="X390" s="7"/>
      <c r="Y390" s="8"/>
      <c r="Z390" s="7"/>
      <c r="AA390" s="8"/>
    </row>
    <row r="391" spans="4:27" ht="14.25" thickTop="1" thickBot="1">
      <c r="D391" s="66"/>
      <c r="E391" s="52" t="s">
        <v>1286</v>
      </c>
      <c r="F391" s="7"/>
      <c r="G391" s="8"/>
      <c r="H391" s="7"/>
      <c r="I391" s="6"/>
      <c r="J391" s="7"/>
      <c r="K391" s="8"/>
      <c r="L391" s="7"/>
      <c r="M391" s="8"/>
      <c r="N391" s="7"/>
      <c r="O391" s="8"/>
      <c r="P391" s="7"/>
      <c r="Q391" s="7"/>
      <c r="R391" s="8"/>
      <c r="S391" s="7"/>
      <c r="T391" s="9"/>
      <c r="U391" s="7"/>
      <c r="V391" s="8"/>
      <c r="W391" s="7"/>
      <c r="X391" s="7"/>
      <c r="Y391" s="8"/>
      <c r="Z391" s="7"/>
      <c r="AA391" s="8"/>
    </row>
    <row r="392" spans="4:27" ht="14.25" thickTop="1" thickBot="1">
      <c r="D392" s="66"/>
      <c r="E392" s="52" t="s">
        <v>1054</v>
      </c>
      <c r="F392" s="7"/>
      <c r="G392" s="8"/>
      <c r="H392" s="7"/>
      <c r="I392" s="6"/>
      <c r="J392" s="7"/>
      <c r="K392" s="8"/>
      <c r="L392" s="7"/>
      <c r="M392" s="8"/>
      <c r="N392" s="7"/>
      <c r="O392" s="8"/>
      <c r="P392" s="7"/>
      <c r="Q392" s="7"/>
      <c r="R392" s="8"/>
      <c r="S392" s="7"/>
      <c r="T392" s="9"/>
      <c r="U392" s="7"/>
      <c r="V392" s="8"/>
      <c r="W392" s="7"/>
      <c r="X392" s="7"/>
      <c r="Y392" s="8"/>
      <c r="Z392" s="7"/>
      <c r="AA392" s="8"/>
    </row>
    <row r="393" spans="4:27" ht="14.25" thickTop="1" thickBot="1">
      <c r="D393" s="66"/>
      <c r="E393" s="52" t="s">
        <v>1052</v>
      </c>
      <c r="F393" s="7"/>
      <c r="G393" s="8"/>
      <c r="H393" s="7"/>
      <c r="I393" s="6"/>
      <c r="J393" s="7"/>
      <c r="K393" s="8"/>
      <c r="L393" s="7"/>
      <c r="M393" s="8"/>
      <c r="N393" s="7"/>
      <c r="O393" s="8"/>
      <c r="P393" s="7"/>
      <c r="Q393" s="7"/>
      <c r="R393" s="8"/>
      <c r="S393" s="7"/>
      <c r="T393" s="9"/>
      <c r="U393" s="7"/>
      <c r="V393" s="8"/>
      <c r="W393" s="7"/>
      <c r="X393" s="7"/>
      <c r="Y393" s="8"/>
      <c r="Z393" s="7"/>
      <c r="AA393" s="8"/>
    </row>
    <row r="394" spans="4:27" ht="14.25" thickTop="1" thickBot="1">
      <c r="D394" s="66"/>
      <c r="E394" s="52" t="s">
        <v>1053</v>
      </c>
      <c r="F394" s="7"/>
      <c r="G394" s="8"/>
      <c r="H394" s="7"/>
      <c r="I394" s="6"/>
      <c r="J394" s="7"/>
      <c r="K394" s="8"/>
      <c r="L394" s="7"/>
      <c r="M394" s="8"/>
      <c r="N394" s="7"/>
      <c r="O394" s="8"/>
      <c r="P394" s="7"/>
      <c r="Q394" s="7"/>
      <c r="R394" s="8"/>
      <c r="S394" s="7"/>
      <c r="T394" s="9"/>
      <c r="U394" s="7"/>
      <c r="V394" s="8"/>
      <c r="W394" s="7"/>
      <c r="X394" s="7"/>
      <c r="Y394" s="8"/>
      <c r="Z394" s="7"/>
      <c r="AA394" s="8"/>
    </row>
    <row r="395" spans="4:27" ht="14.25" thickTop="1" thickBot="1">
      <c r="D395" s="66"/>
      <c r="E395" s="52" t="s">
        <v>155</v>
      </c>
      <c r="F395" s="7"/>
      <c r="G395" s="8"/>
      <c r="H395" s="7"/>
      <c r="I395" s="6"/>
      <c r="J395" s="7"/>
      <c r="K395" s="8"/>
      <c r="L395" s="7"/>
      <c r="M395" s="8"/>
      <c r="N395" s="7"/>
      <c r="O395" s="8"/>
      <c r="P395" s="7"/>
      <c r="Q395" s="7"/>
      <c r="R395" s="8"/>
      <c r="S395" s="7"/>
      <c r="T395" s="9"/>
      <c r="U395" s="7"/>
      <c r="V395" s="8"/>
      <c r="W395" s="7"/>
      <c r="X395" s="7"/>
      <c r="Y395" s="8"/>
      <c r="Z395" s="7"/>
      <c r="AA395" s="8"/>
    </row>
    <row r="396" spans="4:27" ht="14.25" thickTop="1" thickBot="1">
      <c r="D396" s="66"/>
      <c r="E396" s="52" t="s">
        <v>227</v>
      </c>
      <c r="F396" s="7"/>
      <c r="G396" s="8"/>
      <c r="H396" s="7"/>
      <c r="I396" s="6"/>
      <c r="J396" s="7"/>
      <c r="K396" s="8"/>
      <c r="L396" s="7"/>
      <c r="M396" s="8"/>
      <c r="N396" s="7"/>
      <c r="O396" s="8"/>
      <c r="P396" s="7"/>
      <c r="Q396" s="7"/>
      <c r="R396" s="8"/>
      <c r="S396" s="7"/>
      <c r="T396" s="9"/>
      <c r="U396" s="7"/>
      <c r="V396" s="8"/>
      <c r="W396" s="7"/>
      <c r="X396" s="7"/>
      <c r="Y396" s="8"/>
      <c r="Z396" s="7"/>
      <c r="AA396" s="8"/>
    </row>
    <row r="397" spans="4:27" ht="14.25" thickTop="1" thickBot="1">
      <c r="D397" s="66"/>
      <c r="E397" s="52" t="s">
        <v>156</v>
      </c>
      <c r="F397" s="7"/>
      <c r="G397" s="8"/>
      <c r="H397" s="7"/>
      <c r="I397" s="6"/>
      <c r="J397" s="7"/>
      <c r="K397" s="8"/>
      <c r="L397" s="7"/>
      <c r="M397" s="8"/>
      <c r="N397" s="7"/>
      <c r="O397" s="8"/>
      <c r="P397" s="7"/>
      <c r="Q397" s="7"/>
      <c r="R397" s="8"/>
      <c r="S397" s="7"/>
      <c r="T397" s="9"/>
      <c r="U397" s="7"/>
      <c r="V397" s="8"/>
      <c r="W397" s="7"/>
      <c r="X397" s="7"/>
      <c r="Y397" s="8"/>
      <c r="Z397" s="7"/>
      <c r="AA397" s="8"/>
    </row>
    <row r="398" spans="4:27" ht="14.25" thickTop="1" thickBot="1">
      <c r="D398" s="66"/>
      <c r="E398" s="52" t="s">
        <v>157</v>
      </c>
      <c r="F398" s="7"/>
      <c r="G398" s="8"/>
      <c r="H398" s="7"/>
      <c r="I398" s="6"/>
      <c r="J398" s="7"/>
      <c r="K398" s="8"/>
      <c r="L398" s="7"/>
      <c r="M398" s="8"/>
      <c r="N398" s="7"/>
      <c r="O398" s="8"/>
      <c r="P398" s="7"/>
      <c r="Q398" s="7"/>
      <c r="R398" s="8"/>
      <c r="S398" s="7"/>
      <c r="T398" s="9"/>
      <c r="U398" s="7"/>
      <c r="V398" s="8"/>
      <c r="W398" s="7"/>
      <c r="X398" s="7"/>
      <c r="Y398" s="8"/>
      <c r="Z398" s="7"/>
      <c r="AA398" s="8"/>
    </row>
    <row r="399" spans="4:27" ht="14.25" thickTop="1" thickBot="1">
      <c r="D399" s="66"/>
      <c r="E399" s="52" t="s">
        <v>158</v>
      </c>
      <c r="F399" s="7"/>
      <c r="G399" s="8"/>
      <c r="H399" s="7"/>
      <c r="I399" s="6"/>
      <c r="J399" s="7"/>
      <c r="K399" s="8"/>
      <c r="L399" s="7"/>
      <c r="M399" s="8"/>
      <c r="N399" s="7"/>
      <c r="O399" s="8"/>
      <c r="P399" s="7"/>
      <c r="Q399" s="7"/>
      <c r="R399" s="8"/>
      <c r="S399" s="7"/>
      <c r="T399" s="9"/>
      <c r="U399" s="7"/>
      <c r="V399" s="8"/>
      <c r="W399" s="7"/>
      <c r="X399" s="7"/>
      <c r="Y399" s="8"/>
      <c r="Z399" s="7"/>
      <c r="AA399" s="8"/>
    </row>
    <row r="400" spans="4:27" ht="14.25" thickTop="1" thickBot="1">
      <c r="D400" s="66"/>
      <c r="E400" s="52" t="s">
        <v>159</v>
      </c>
      <c r="F400" s="7"/>
      <c r="G400" s="8"/>
      <c r="H400" s="7"/>
      <c r="I400" s="6"/>
      <c r="J400" s="7"/>
      <c r="K400" s="8"/>
      <c r="L400" s="7"/>
      <c r="M400" s="8"/>
      <c r="N400" s="7"/>
      <c r="O400" s="8"/>
      <c r="P400" s="7"/>
      <c r="Q400" s="7"/>
      <c r="R400" s="8"/>
      <c r="S400" s="7"/>
      <c r="T400" s="9"/>
      <c r="U400" s="7"/>
      <c r="V400" s="8"/>
      <c r="W400" s="7"/>
      <c r="X400" s="7"/>
      <c r="Y400" s="8"/>
      <c r="Z400" s="7"/>
      <c r="AA400" s="8"/>
    </row>
    <row r="401" spans="4:27" ht="14.25" thickTop="1" thickBot="1">
      <c r="D401" s="66"/>
      <c r="E401" s="52" t="s">
        <v>160</v>
      </c>
      <c r="F401" s="7"/>
      <c r="G401" s="8"/>
      <c r="H401" s="7"/>
      <c r="I401" s="6"/>
      <c r="J401" s="7"/>
      <c r="K401" s="8"/>
      <c r="L401" s="7"/>
      <c r="M401" s="8"/>
      <c r="N401" s="7"/>
      <c r="O401" s="8"/>
      <c r="P401" s="7"/>
      <c r="Q401" s="7"/>
      <c r="R401" s="8"/>
      <c r="S401" s="7"/>
      <c r="T401" s="9"/>
      <c r="U401" s="7"/>
      <c r="V401" s="8"/>
      <c r="W401" s="7"/>
      <c r="X401" s="7"/>
      <c r="Y401" s="8"/>
      <c r="Z401" s="7"/>
      <c r="AA401" s="8"/>
    </row>
    <row r="402" spans="4:27" ht="14.25" thickTop="1" thickBot="1">
      <c r="D402" s="66"/>
      <c r="E402" s="52" t="s">
        <v>257</v>
      </c>
      <c r="F402" s="7"/>
      <c r="G402" s="8"/>
      <c r="H402" s="7"/>
      <c r="I402" s="6"/>
      <c r="J402" s="7"/>
      <c r="K402" s="8"/>
      <c r="L402" s="7"/>
      <c r="M402" s="8"/>
      <c r="N402" s="7"/>
      <c r="O402" s="8"/>
      <c r="P402" s="7"/>
      <c r="Q402" s="7"/>
      <c r="R402" s="8"/>
      <c r="S402" s="7"/>
      <c r="T402" s="9"/>
      <c r="U402" s="7"/>
      <c r="V402" s="8"/>
      <c r="W402" s="7"/>
      <c r="X402" s="7"/>
      <c r="Y402" s="8"/>
      <c r="Z402" s="7"/>
      <c r="AA402" s="8"/>
    </row>
    <row r="403" spans="4:27" ht="14.25" thickTop="1" thickBot="1">
      <c r="D403" s="66"/>
      <c r="E403" s="52" t="s">
        <v>258</v>
      </c>
      <c r="F403" s="7"/>
      <c r="G403" s="8"/>
      <c r="H403" s="7"/>
      <c r="I403" s="6"/>
      <c r="J403" s="7"/>
      <c r="K403" s="8"/>
      <c r="L403" s="7"/>
      <c r="M403" s="8"/>
      <c r="N403" s="7"/>
      <c r="O403" s="8"/>
      <c r="P403" s="7"/>
      <c r="Q403" s="7"/>
      <c r="R403" s="8"/>
      <c r="S403" s="7"/>
      <c r="T403" s="9"/>
      <c r="U403" s="7"/>
      <c r="V403" s="8"/>
      <c r="W403" s="7"/>
      <c r="X403" s="7"/>
      <c r="Y403" s="8"/>
      <c r="Z403" s="7"/>
      <c r="AA403" s="8"/>
    </row>
    <row r="404" spans="4:27" ht="14.25" thickTop="1" thickBot="1">
      <c r="D404" s="66"/>
      <c r="E404" s="52" t="s">
        <v>228</v>
      </c>
      <c r="F404" s="7"/>
      <c r="G404" s="8"/>
      <c r="H404" s="7"/>
      <c r="I404" s="6"/>
      <c r="J404" s="7"/>
      <c r="K404" s="8"/>
      <c r="L404" s="7"/>
      <c r="M404" s="8"/>
      <c r="N404" s="7"/>
      <c r="O404" s="8"/>
      <c r="P404" s="7"/>
      <c r="Q404" s="7"/>
      <c r="R404" s="8"/>
      <c r="S404" s="7"/>
      <c r="T404" s="9"/>
      <c r="U404" s="7"/>
      <c r="V404" s="8"/>
      <c r="W404" s="7"/>
      <c r="X404" s="7"/>
      <c r="Y404" s="8"/>
      <c r="Z404" s="7"/>
      <c r="AA404" s="8"/>
    </row>
    <row r="405" spans="4:27" ht="14.25" thickTop="1" thickBot="1">
      <c r="D405" s="66"/>
      <c r="E405" s="52" t="s">
        <v>161</v>
      </c>
      <c r="F405" s="7"/>
      <c r="G405" s="8"/>
      <c r="H405" s="7"/>
      <c r="I405" s="6"/>
      <c r="J405" s="7"/>
      <c r="K405" s="8"/>
      <c r="L405" s="7"/>
      <c r="M405" s="8"/>
      <c r="N405" s="7"/>
      <c r="O405" s="8"/>
      <c r="P405" s="7"/>
      <c r="Q405" s="7"/>
      <c r="R405" s="8"/>
      <c r="S405" s="7"/>
      <c r="T405" s="9"/>
      <c r="U405" s="7"/>
      <c r="V405" s="8"/>
      <c r="W405" s="7"/>
      <c r="X405" s="7"/>
      <c r="Y405" s="8"/>
      <c r="Z405" s="7"/>
      <c r="AA405" s="8"/>
    </row>
    <row r="406" spans="4:27" ht="14.25" thickTop="1" thickBot="1">
      <c r="D406" s="66"/>
      <c r="E406" s="52" t="s">
        <v>229</v>
      </c>
      <c r="F406" s="7"/>
      <c r="G406" s="8"/>
      <c r="H406" s="7"/>
      <c r="I406" s="6"/>
      <c r="J406" s="7"/>
      <c r="K406" s="8"/>
      <c r="L406" s="7"/>
      <c r="M406" s="8"/>
      <c r="N406" s="7"/>
      <c r="O406" s="8"/>
      <c r="P406" s="7"/>
      <c r="Q406" s="7"/>
      <c r="R406" s="8"/>
      <c r="S406" s="7"/>
      <c r="T406" s="9"/>
      <c r="U406" s="7"/>
      <c r="V406" s="8"/>
      <c r="W406" s="7"/>
      <c r="X406" s="7"/>
      <c r="Y406" s="8"/>
      <c r="Z406" s="7"/>
      <c r="AA406" s="8"/>
    </row>
    <row r="407" spans="4:27" ht="14.25" thickTop="1" thickBot="1">
      <c r="D407" s="66"/>
      <c r="E407" s="52" t="s">
        <v>162</v>
      </c>
      <c r="F407" s="7"/>
      <c r="G407" s="8"/>
      <c r="H407" s="7"/>
      <c r="I407" s="6"/>
      <c r="J407" s="7"/>
      <c r="K407" s="8"/>
      <c r="L407" s="7"/>
      <c r="M407" s="8"/>
      <c r="N407" s="7"/>
      <c r="O407" s="8"/>
      <c r="P407" s="7"/>
      <c r="Q407" s="7"/>
      <c r="R407" s="8"/>
      <c r="S407" s="7"/>
      <c r="T407" s="9"/>
      <c r="U407" s="7"/>
      <c r="V407" s="8"/>
      <c r="W407" s="7"/>
      <c r="X407" s="7"/>
      <c r="Y407" s="8"/>
      <c r="Z407" s="7"/>
      <c r="AA407" s="8"/>
    </row>
    <row r="408" spans="4:27" ht="14.25" thickTop="1" thickBot="1">
      <c r="D408" s="66"/>
      <c r="E408" s="52" t="s">
        <v>259</v>
      </c>
      <c r="F408" s="7"/>
      <c r="G408" s="8"/>
      <c r="H408" s="7"/>
      <c r="I408" s="6"/>
      <c r="J408" s="7"/>
      <c r="K408" s="8"/>
      <c r="L408" s="7"/>
      <c r="M408" s="8"/>
      <c r="N408" s="7"/>
      <c r="O408" s="8"/>
      <c r="P408" s="7"/>
      <c r="Q408" s="7"/>
      <c r="R408" s="8"/>
      <c r="S408" s="7"/>
      <c r="T408" s="9"/>
      <c r="U408" s="7"/>
      <c r="V408" s="8"/>
      <c r="W408" s="7"/>
      <c r="X408" s="7"/>
      <c r="Y408" s="8"/>
      <c r="Z408" s="7"/>
      <c r="AA408" s="8"/>
    </row>
    <row r="409" spans="4:27" ht="14.25" thickTop="1" thickBot="1">
      <c r="D409" s="66"/>
      <c r="E409" s="52" t="s">
        <v>163</v>
      </c>
      <c r="F409" s="7"/>
      <c r="G409" s="8"/>
      <c r="H409" s="7"/>
      <c r="I409" s="6"/>
      <c r="J409" s="7"/>
      <c r="K409" s="8"/>
      <c r="L409" s="7"/>
      <c r="M409" s="8"/>
      <c r="N409" s="7"/>
      <c r="O409" s="8"/>
      <c r="P409" s="7"/>
      <c r="Q409" s="7"/>
      <c r="R409" s="8"/>
      <c r="S409" s="7"/>
      <c r="T409" s="9"/>
      <c r="U409" s="7"/>
      <c r="V409" s="8"/>
      <c r="W409" s="7"/>
      <c r="X409" s="7"/>
      <c r="Y409" s="8"/>
      <c r="Z409" s="7"/>
      <c r="AA409" s="8"/>
    </row>
    <row r="410" spans="4:27" ht="14.25" thickTop="1" thickBot="1">
      <c r="D410" s="66"/>
      <c r="E410" s="52" t="s">
        <v>1144</v>
      </c>
      <c r="F410" s="7"/>
      <c r="G410" s="8"/>
      <c r="H410" s="7"/>
      <c r="I410" s="6"/>
      <c r="J410" s="7"/>
      <c r="K410" s="8"/>
      <c r="L410" s="7"/>
      <c r="M410" s="8"/>
      <c r="N410" s="7"/>
      <c r="O410" s="8"/>
      <c r="P410" s="7"/>
      <c r="Q410" s="7"/>
      <c r="R410" s="8"/>
      <c r="S410" s="7"/>
      <c r="T410" s="9"/>
      <c r="U410" s="7"/>
      <c r="V410" s="8"/>
      <c r="W410" s="7"/>
      <c r="X410" s="7"/>
      <c r="Y410" s="8"/>
      <c r="Z410" s="7"/>
      <c r="AA410" s="8"/>
    </row>
    <row r="411" spans="4:27" ht="14.25" thickTop="1" thickBot="1">
      <c r="D411" s="66"/>
      <c r="E411" s="52" t="s">
        <v>164</v>
      </c>
      <c r="F411" s="7"/>
      <c r="G411" s="8"/>
      <c r="H411" s="7"/>
      <c r="I411" s="6"/>
      <c r="J411" s="7"/>
      <c r="K411" s="8"/>
      <c r="L411" s="7"/>
      <c r="M411" s="8"/>
      <c r="N411" s="7"/>
      <c r="O411" s="8"/>
      <c r="P411" s="7"/>
      <c r="Q411" s="7"/>
      <c r="R411" s="8"/>
      <c r="S411" s="7"/>
      <c r="T411" s="9"/>
      <c r="U411" s="7"/>
      <c r="V411" s="8"/>
      <c r="W411" s="7"/>
      <c r="X411" s="7"/>
      <c r="Y411" s="8"/>
      <c r="Z411" s="7"/>
      <c r="AA411" s="8"/>
    </row>
    <row r="412" spans="4:27" ht="14.25" thickTop="1" thickBot="1">
      <c r="D412" s="66"/>
      <c r="E412" s="52" t="s">
        <v>261</v>
      </c>
      <c r="F412" s="7"/>
      <c r="G412" s="8"/>
      <c r="H412" s="7"/>
      <c r="I412" s="6"/>
      <c r="J412" s="7"/>
      <c r="K412" s="8"/>
      <c r="L412" s="7"/>
      <c r="M412" s="8"/>
      <c r="N412" s="7"/>
      <c r="O412" s="8"/>
      <c r="P412" s="7"/>
      <c r="Q412" s="7"/>
      <c r="R412" s="8"/>
      <c r="S412" s="7"/>
      <c r="T412" s="9"/>
      <c r="U412" s="7"/>
      <c r="V412" s="8"/>
      <c r="W412" s="7"/>
      <c r="X412" s="7"/>
      <c r="Y412" s="8"/>
      <c r="Z412" s="7"/>
      <c r="AA412" s="8"/>
    </row>
    <row r="413" spans="4:27" ht="14.25" thickTop="1" thickBot="1">
      <c r="D413" s="66"/>
      <c r="E413" s="52" t="s">
        <v>165</v>
      </c>
      <c r="F413" s="7"/>
      <c r="G413" s="8"/>
      <c r="H413" s="7"/>
      <c r="I413" s="6"/>
      <c r="J413" s="7"/>
      <c r="K413" s="8"/>
      <c r="L413" s="7"/>
      <c r="M413" s="8"/>
      <c r="N413" s="7"/>
      <c r="O413" s="8"/>
      <c r="P413" s="7"/>
      <c r="Q413" s="7"/>
      <c r="R413" s="8"/>
      <c r="S413" s="7"/>
      <c r="T413" s="9"/>
      <c r="U413" s="7"/>
      <c r="V413" s="8"/>
      <c r="W413" s="7"/>
      <c r="X413" s="7"/>
      <c r="Y413" s="8"/>
      <c r="Z413" s="7"/>
      <c r="AA413" s="8"/>
    </row>
    <row r="414" spans="4:27" ht="14.25" thickTop="1" thickBot="1">
      <c r="D414" s="66"/>
      <c r="E414" s="52" t="s">
        <v>166</v>
      </c>
      <c r="F414" s="7"/>
      <c r="G414" s="8"/>
      <c r="H414" s="7"/>
      <c r="I414" s="6"/>
      <c r="J414" s="7"/>
      <c r="K414" s="8"/>
      <c r="L414" s="7"/>
      <c r="M414" s="8"/>
      <c r="N414" s="7"/>
      <c r="O414" s="8"/>
      <c r="P414" s="7"/>
      <c r="Q414" s="7"/>
      <c r="R414" s="8"/>
      <c r="S414" s="7"/>
      <c r="T414" s="9"/>
      <c r="U414" s="7"/>
      <c r="V414" s="8"/>
      <c r="W414" s="7"/>
      <c r="X414" s="7"/>
      <c r="Y414" s="8"/>
      <c r="Z414" s="7"/>
      <c r="AA414" s="8"/>
    </row>
    <row r="415" spans="4:27" ht="14.25" thickTop="1" thickBot="1">
      <c r="D415" s="66"/>
      <c r="E415" s="52" t="s">
        <v>1047</v>
      </c>
      <c r="F415" s="7"/>
      <c r="G415" s="8"/>
      <c r="H415" s="7"/>
      <c r="I415" s="6"/>
      <c r="J415" s="7"/>
      <c r="K415" s="8"/>
      <c r="L415" s="7"/>
      <c r="M415" s="8"/>
      <c r="N415" s="7"/>
      <c r="O415" s="8"/>
      <c r="P415" s="7"/>
      <c r="Q415" s="7"/>
      <c r="R415" s="8"/>
      <c r="S415" s="7"/>
      <c r="T415" s="9"/>
      <c r="U415" s="7"/>
      <c r="V415" s="8"/>
      <c r="W415" s="7"/>
      <c r="X415" s="7"/>
      <c r="Y415" s="8"/>
      <c r="Z415" s="7"/>
      <c r="AA415" s="8"/>
    </row>
    <row r="416" spans="4:27" ht="14.25" thickTop="1" thickBot="1">
      <c r="D416" s="66"/>
      <c r="E416" s="52" t="s">
        <v>980</v>
      </c>
      <c r="F416" s="7"/>
      <c r="G416" s="8"/>
      <c r="H416" s="7"/>
      <c r="I416" s="6"/>
      <c r="J416" s="7"/>
      <c r="K416" s="8"/>
      <c r="L416" s="7"/>
      <c r="M416" s="8"/>
      <c r="N416" s="7"/>
      <c r="O416" s="8"/>
      <c r="P416" s="7"/>
      <c r="Q416" s="7"/>
      <c r="R416" s="8"/>
      <c r="S416" s="7"/>
      <c r="T416" s="9"/>
      <c r="U416" s="7"/>
      <c r="V416" s="8"/>
      <c r="W416" s="7"/>
      <c r="X416" s="7"/>
      <c r="Y416" s="8"/>
      <c r="Z416" s="7"/>
      <c r="AA416" s="8"/>
    </row>
    <row r="417" spans="4:27" ht="14.25" thickTop="1" thickBot="1">
      <c r="D417" s="66"/>
      <c r="E417" s="52" t="s">
        <v>981</v>
      </c>
      <c r="F417" s="7"/>
      <c r="G417" s="8"/>
      <c r="H417" s="7"/>
      <c r="I417" s="6"/>
      <c r="J417" s="7"/>
      <c r="K417" s="8"/>
      <c r="L417" s="7"/>
      <c r="M417" s="8"/>
      <c r="N417" s="7"/>
      <c r="O417" s="8"/>
      <c r="P417" s="7"/>
      <c r="Q417" s="7"/>
      <c r="R417" s="8"/>
      <c r="S417" s="7"/>
      <c r="T417" s="9"/>
      <c r="U417" s="7"/>
      <c r="V417" s="8"/>
      <c r="W417" s="7"/>
      <c r="X417" s="7"/>
      <c r="Y417" s="8"/>
      <c r="Z417" s="7"/>
      <c r="AA417" s="8"/>
    </row>
    <row r="418" spans="4:27" ht="14.25" thickTop="1" thickBot="1">
      <c r="D418" s="66"/>
      <c r="E418" s="52" t="s">
        <v>714</v>
      </c>
      <c r="F418" s="7"/>
      <c r="G418" s="8"/>
      <c r="H418" s="7"/>
      <c r="I418" s="6"/>
      <c r="J418" s="7"/>
      <c r="K418" s="8"/>
      <c r="L418" s="7"/>
      <c r="M418" s="8"/>
      <c r="N418" s="7"/>
      <c r="O418" s="8"/>
      <c r="P418" s="7"/>
      <c r="Q418" s="7"/>
      <c r="R418" s="8"/>
      <c r="S418" s="7"/>
      <c r="T418" s="9"/>
      <c r="U418" s="7"/>
      <c r="V418" s="8"/>
      <c r="W418" s="7"/>
      <c r="X418" s="7"/>
      <c r="Y418" s="8"/>
      <c r="Z418" s="7"/>
      <c r="AA418" s="8"/>
    </row>
    <row r="419" spans="4:27" ht="14.25" thickTop="1" thickBot="1">
      <c r="D419" s="66"/>
      <c r="E419" s="52" t="s">
        <v>750</v>
      </c>
      <c r="F419" s="7"/>
      <c r="G419" s="8"/>
      <c r="H419" s="7"/>
      <c r="I419" s="6"/>
      <c r="J419" s="7"/>
      <c r="K419" s="8"/>
      <c r="L419" s="7"/>
      <c r="M419" s="8"/>
      <c r="N419" s="7"/>
      <c r="O419" s="8"/>
      <c r="P419" s="7"/>
      <c r="Q419" s="7"/>
      <c r="R419" s="8"/>
      <c r="S419" s="7"/>
      <c r="T419" s="9"/>
      <c r="U419" s="7"/>
      <c r="V419" s="8"/>
      <c r="W419" s="7"/>
      <c r="X419" s="7"/>
      <c r="Y419" s="8"/>
      <c r="Z419" s="7"/>
      <c r="AA419" s="8"/>
    </row>
    <row r="420" spans="4:27" ht="14.25" thickTop="1" thickBot="1">
      <c r="D420" s="66"/>
      <c r="E420" s="52" t="s">
        <v>704</v>
      </c>
      <c r="F420" s="7"/>
      <c r="G420" s="8"/>
      <c r="H420" s="7"/>
      <c r="I420" s="6"/>
      <c r="J420" s="7"/>
      <c r="K420" s="8"/>
      <c r="L420" s="7"/>
      <c r="M420" s="8"/>
      <c r="N420" s="7"/>
      <c r="O420" s="8"/>
      <c r="P420" s="7"/>
      <c r="Q420" s="7"/>
      <c r="R420" s="8"/>
      <c r="S420" s="7"/>
      <c r="T420" s="9"/>
      <c r="U420" s="7"/>
      <c r="V420" s="8"/>
      <c r="W420" s="7"/>
      <c r="X420" s="7"/>
      <c r="Y420" s="8"/>
      <c r="Z420" s="7"/>
      <c r="AA420" s="8"/>
    </row>
    <row r="421" spans="4:27" ht="14.25" thickTop="1" thickBot="1">
      <c r="D421" s="66"/>
      <c r="E421" s="52" t="s">
        <v>965</v>
      </c>
      <c r="F421" s="7"/>
      <c r="G421" s="8"/>
      <c r="H421" s="7"/>
      <c r="I421" s="6"/>
      <c r="J421" s="7"/>
      <c r="K421" s="8"/>
      <c r="L421" s="7"/>
      <c r="M421" s="8"/>
      <c r="N421" s="7"/>
      <c r="O421" s="8"/>
      <c r="P421" s="7"/>
      <c r="Q421" s="7"/>
      <c r="R421" s="8"/>
      <c r="S421" s="7"/>
      <c r="T421" s="9"/>
      <c r="U421" s="7"/>
      <c r="V421" s="8"/>
      <c r="W421" s="7"/>
      <c r="X421" s="7"/>
      <c r="Y421" s="8"/>
      <c r="Z421" s="7"/>
      <c r="AA421" s="8"/>
    </row>
    <row r="422" spans="4:27" ht="14.25" thickTop="1" thickBot="1">
      <c r="D422" s="66"/>
      <c r="E422" s="52" t="s">
        <v>1287</v>
      </c>
      <c r="F422" s="7"/>
      <c r="G422" s="8"/>
      <c r="H422" s="7"/>
      <c r="I422" s="6"/>
      <c r="J422" s="7"/>
      <c r="K422" s="8"/>
      <c r="L422" s="7"/>
      <c r="M422" s="8"/>
      <c r="N422" s="7"/>
      <c r="O422" s="8"/>
      <c r="P422" s="7"/>
      <c r="Q422" s="7"/>
      <c r="R422" s="8"/>
      <c r="S422" s="7"/>
      <c r="T422" s="9"/>
      <c r="U422" s="7"/>
      <c r="V422" s="8"/>
      <c r="W422" s="7"/>
      <c r="X422" s="7"/>
      <c r="Y422" s="8"/>
      <c r="Z422" s="7"/>
      <c r="AA422" s="8"/>
    </row>
    <row r="423" spans="4:27" ht="14.25" thickTop="1" thickBot="1">
      <c r="D423" s="66"/>
      <c r="E423" s="52" t="s">
        <v>1100</v>
      </c>
      <c r="F423" s="7"/>
      <c r="G423" s="8"/>
      <c r="H423" s="7"/>
      <c r="I423" s="6"/>
      <c r="J423" s="7"/>
      <c r="K423" s="8"/>
      <c r="L423" s="7"/>
      <c r="M423" s="8"/>
      <c r="N423" s="7"/>
      <c r="O423" s="8"/>
      <c r="P423" s="7"/>
      <c r="Q423" s="7"/>
      <c r="R423" s="8"/>
      <c r="S423" s="7"/>
      <c r="T423" s="9"/>
      <c r="U423" s="7"/>
      <c r="V423" s="8"/>
      <c r="W423" s="7"/>
      <c r="X423" s="7"/>
      <c r="Y423" s="8"/>
      <c r="Z423" s="7"/>
      <c r="AA423" s="8"/>
    </row>
    <row r="424" spans="4:27" ht="14.25" thickTop="1" thickBot="1">
      <c r="D424" s="66"/>
      <c r="E424" s="52" t="s">
        <v>168</v>
      </c>
      <c r="F424" s="7"/>
      <c r="G424" s="8"/>
      <c r="H424" s="7"/>
      <c r="I424" s="6"/>
      <c r="J424" s="7"/>
      <c r="K424" s="8"/>
      <c r="L424" s="7"/>
      <c r="M424" s="8"/>
      <c r="N424" s="7"/>
      <c r="O424" s="8"/>
      <c r="P424" s="7"/>
      <c r="Q424" s="7"/>
      <c r="R424" s="8"/>
      <c r="S424" s="7"/>
      <c r="T424" s="9"/>
      <c r="U424" s="7"/>
      <c r="V424" s="8"/>
      <c r="W424" s="7"/>
      <c r="X424" s="7"/>
      <c r="Y424" s="8"/>
      <c r="Z424" s="7"/>
      <c r="AA424" s="8"/>
    </row>
    <row r="425" spans="4:27" ht="14.25" thickTop="1" thickBot="1">
      <c r="D425" s="66"/>
      <c r="E425" s="52" t="s">
        <v>1125</v>
      </c>
      <c r="F425" s="7"/>
      <c r="G425" s="8"/>
      <c r="H425" s="7"/>
      <c r="I425" s="6"/>
      <c r="J425" s="7"/>
      <c r="K425" s="8"/>
      <c r="L425" s="7"/>
      <c r="M425" s="8"/>
      <c r="N425" s="7"/>
      <c r="O425" s="8"/>
      <c r="P425" s="7"/>
      <c r="Q425" s="7"/>
      <c r="R425" s="8"/>
      <c r="S425" s="7"/>
      <c r="T425" s="9"/>
      <c r="U425" s="7"/>
      <c r="V425" s="8"/>
      <c r="W425" s="7"/>
      <c r="X425" s="7"/>
      <c r="Y425" s="8"/>
      <c r="Z425" s="7"/>
      <c r="AA425" s="8"/>
    </row>
    <row r="426" spans="4:27" ht="14.25" thickTop="1" thickBot="1">
      <c r="D426" s="66"/>
      <c r="E426" s="52" t="s">
        <v>771</v>
      </c>
      <c r="F426" s="7"/>
      <c r="G426" s="8"/>
      <c r="H426" s="7"/>
      <c r="I426" s="6"/>
      <c r="J426" s="7"/>
      <c r="K426" s="8"/>
      <c r="L426" s="7"/>
      <c r="M426" s="8"/>
      <c r="N426" s="7"/>
      <c r="O426" s="8"/>
      <c r="P426" s="7"/>
      <c r="Q426" s="7"/>
      <c r="R426" s="8"/>
      <c r="S426" s="7"/>
      <c r="T426" s="9"/>
      <c r="U426" s="7"/>
      <c r="V426" s="8"/>
      <c r="W426" s="7"/>
      <c r="X426" s="7"/>
      <c r="Y426" s="8"/>
      <c r="Z426" s="7"/>
      <c r="AA426" s="8"/>
    </row>
    <row r="427" spans="4:27" ht="14.25" thickTop="1" thickBot="1">
      <c r="D427" s="66"/>
      <c r="E427" s="52" t="s">
        <v>209</v>
      </c>
      <c r="F427" s="7"/>
      <c r="G427" s="8"/>
      <c r="H427" s="7"/>
      <c r="I427" s="6"/>
      <c r="J427" s="7"/>
      <c r="K427" s="8"/>
      <c r="L427" s="7"/>
      <c r="M427" s="8"/>
      <c r="N427" s="7"/>
      <c r="O427" s="8"/>
      <c r="P427" s="7"/>
      <c r="Q427" s="7"/>
      <c r="R427" s="8"/>
      <c r="S427" s="7"/>
      <c r="T427" s="9"/>
      <c r="U427" s="7"/>
      <c r="V427" s="8"/>
      <c r="W427" s="7"/>
      <c r="X427" s="7"/>
      <c r="Y427" s="8"/>
      <c r="Z427" s="7"/>
      <c r="AA427" s="8"/>
    </row>
    <row r="428" spans="4:27" ht="14.25" thickTop="1" thickBot="1">
      <c r="D428" s="66"/>
      <c r="E428" s="52" t="s">
        <v>210</v>
      </c>
      <c r="F428" s="7"/>
      <c r="G428" s="8"/>
      <c r="H428" s="7"/>
      <c r="I428" s="6"/>
      <c r="J428" s="7"/>
      <c r="K428" s="8"/>
      <c r="L428" s="7"/>
      <c r="M428" s="8"/>
      <c r="N428" s="7"/>
      <c r="O428" s="8"/>
      <c r="P428" s="7"/>
      <c r="Q428" s="7"/>
      <c r="R428" s="8"/>
      <c r="S428" s="7"/>
      <c r="T428" s="9"/>
      <c r="U428" s="7"/>
      <c r="V428" s="8"/>
      <c r="W428" s="7"/>
      <c r="X428" s="7"/>
      <c r="Y428" s="8"/>
      <c r="Z428" s="7"/>
      <c r="AA428" s="8"/>
    </row>
    <row r="429" spans="4:27" ht="14.25" thickTop="1" thickBot="1">
      <c r="D429" s="66"/>
      <c r="E429" s="52" t="s">
        <v>1138</v>
      </c>
      <c r="F429" s="7"/>
      <c r="G429" s="8"/>
      <c r="H429" s="7"/>
      <c r="I429" s="6"/>
      <c r="J429" s="7"/>
      <c r="K429" s="8"/>
      <c r="L429" s="7"/>
      <c r="M429" s="8"/>
      <c r="N429" s="7"/>
      <c r="O429" s="8"/>
      <c r="P429" s="7"/>
      <c r="Q429" s="7"/>
      <c r="R429" s="8"/>
      <c r="S429" s="7"/>
      <c r="T429" s="9"/>
      <c r="U429" s="7"/>
      <c r="V429" s="8"/>
      <c r="W429" s="7"/>
      <c r="X429" s="7"/>
      <c r="Y429" s="8"/>
      <c r="Z429" s="7"/>
      <c r="AA429" s="8"/>
    </row>
    <row r="430" spans="4:27" ht="14.25" thickTop="1" thickBot="1">
      <c r="D430" s="66"/>
      <c r="E430" s="52" t="s">
        <v>1071</v>
      </c>
      <c r="F430" s="7"/>
      <c r="G430" s="8"/>
      <c r="H430" s="7"/>
      <c r="I430" s="6"/>
      <c r="J430" s="7"/>
      <c r="K430" s="8"/>
      <c r="L430" s="7"/>
      <c r="M430" s="8"/>
      <c r="N430" s="7"/>
      <c r="O430" s="8"/>
      <c r="P430" s="7"/>
      <c r="Q430" s="7"/>
      <c r="R430" s="8"/>
      <c r="S430" s="7"/>
      <c r="T430" s="9"/>
      <c r="U430" s="7"/>
      <c r="V430" s="8"/>
      <c r="W430" s="7"/>
      <c r="X430" s="7"/>
      <c r="Y430" s="8"/>
      <c r="Z430" s="7"/>
      <c r="AA430" s="8"/>
    </row>
    <row r="431" spans="4:27" ht="14.25" thickTop="1" thickBot="1">
      <c r="D431" s="66"/>
      <c r="E431" s="52" t="s">
        <v>1124</v>
      </c>
      <c r="F431" s="7"/>
      <c r="G431" s="8"/>
      <c r="H431" s="7"/>
      <c r="I431" s="6"/>
      <c r="J431" s="7"/>
      <c r="K431" s="8"/>
      <c r="L431" s="7"/>
      <c r="M431" s="8"/>
      <c r="N431" s="7"/>
      <c r="O431" s="8"/>
      <c r="P431" s="7"/>
      <c r="Q431" s="7"/>
      <c r="R431" s="8"/>
      <c r="S431" s="7"/>
      <c r="T431" s="9"/>
      <c r="U431" s="7"/>
      <c r="V431" s="8"/>
      <c r="W431" s="7"/>
      <c r="X431" s="7"/>
      <c r="Y431" s="8"/>
      <c r="Z431" s="7"/>
      <c r="AA431" s="8"/>
    </row>
    <row r="432" spans="4:27" ht="14.25" thickTop="1" thickBot="1">
      <c r="D432" s="66"/>
      <c r="E432" s="52" t="s">
        <v>230</v>
      </c>
      <c r="F432" s="7"/>
      <c r="G432" s="8"/>
      <c r="H432" s="7"/>
      <c r="I432" s="6"/>
      <c r="J432" s="7"/>
      <c r="K432" s="8"/>
      <c r="L432" s="7"/>
      <c r="M432" s="8"/>
      <c r="N432" s="7"/>
      <c r="O432" s="8"/>
      <c r="P432" s="7"/>
      <c r="Q432" s="7"/>
      <c r="R432" s="8"/>
      <c r="S432" s="7"/>
      <c r="T432" s="9"/>
      <c r="U432" s="7"/>
      <c r="V432" s="8"/>
      <c r="W432" s="7"/>
      <c r="X432" s="7"/>
      <c r="Y432" s="8"/>
      <c r="Z432" s="7"/>
      <c r="AA432" s="8"/>
    </row>
    <row r="433" spans="4:27" ht="14.25" thickTop="1" thickBot="1">
      <c r="D433" s="66"/>
      <c r="E433" s="52" t="s">
        <v>213</v>
      </c>
      <c r="F433" s="7"/>
      <c r="G433" s="8"/>
      <c r="H433" s="7"/>
      <c r="I433" s="6"/>
      <c r="J433" s="7"/>
      <c r="K433" s="8"/>
      <c r="L433" s="7"/>
      <c r="M433" s="8"/>
      <c r="N433" s="7"/>
      <c r="O433" s="8"/>
      <c r="P433" s="7"/>
      <c r="Q433" s="7"/>
      <c r="R433" s="8"/>
      <c r="S433" s="7"/>
      <c r="T433" s="9"/>
      <c r="U433" s="7"/>
      <c r="V433" s="8"/>
      <c r="W433" s="7"/>
      <c r="X433" s="7"/>
      <c r="Y433" s="8"/>
      <c r="Z433" s="7"/>
      <c r="AA433" s="8"/>
    </row>
    <row r="434" spans="4:27" ht="14.25" thickTop="1" thickBot="1">
      <c r="D434" s="66"/>
      <c r="E434" s="52" t="s">
        <v>214</v>
      </c>
      <c r="F434" s="7"/>
      <c r="G434" s="8"/>
      <c r="H434" s="7"/>
      <c r="I434" s="6"/>
      <c r="J434" s="7"/>
      <c r="K434" s="8"/>
      <c r="L434" s="7"/>
      <c r="M434" s="8"/>
      <c r="N434" s="7"/>
      <c r="O434" s="8"/>
      <c r="P434" s="7"/>
      <c r="Q434" s="7"/>
      <c r="R434" s="8"/>
      <c r="S434" s="7"/>
      <c r="T434" s="9"/>
      <c r="U434" s="7"/>
      <c r="V434" s="8"/>
      <c r="W434" s="7"/>
      <c r="X434" s="7"/>
      <c r="Y434" s="8"/>
      <c r="Z434" s="7"/>
      <c r="AA434" s="8"/>
    </row>
    <row r="435" spans="4:27" ht="14.25" thickTop="1" thickBot="1">
      <c r="D435" s="66"/>
      <c r="E435" s="52" t="s">
        <v>262</v>
      </c>
      <c r="F435" s="7"/>
      <c r="G435" s="8"/>
      <c r="H435" s="7"/>
      <c r="I435" s="6"/>
      <c r="J435" s="7"/>
      <c r="K435" s="8"/>
      <c r="L435" s="7"/>
      <c r="M435" s="8"/>
      <c r="N435" s="7"/>
      <c r="O435" s="8"/>
      <c r="P435" s="7"/>
      <c r="Q435" s="7"/>
      <c r="R435" s="8"/>
      <c r="S435" s="7"/>
      <c r="T435" s="9"/>
      <c r="U435" s="7"/>
      <c r="V435" s="8"/>
      <c r="W435" s="7"/>
      <c r="X435" s="7"/>
      <c r="Y435" s="8"/>
      <c r="Z435" s="7"/>
      <c r="AA435" s="8"/>
    </row>
    <row r="436" spans="4:27" ht="14.25" thickTop="1" thickBot="1">
      <c r="D436" s="66"/>
      <c r="E436" s="52" t="s">
        <v>169</v>
      </c>
      <c r="F436" s="7"/>
      <c r="G436" s="8"/>
      <c r="H436" s="7"/>
      <c r="I436" s="6"/>
      <c r="J436" s="7"/>
      <c r="K436" s="8"/>
      <c r="L436" s="7"/>
      <c r="M436" s="8"/>
      <c r="N436" s="7"/>
      <c r="O436" s="8"/>
      <c r="P436" s="7"/>
      <c r="Q436" s="7"/>
      <c r="R436" s="8"/>
      <c r="S436" s="7"/>
      <c r="T436" s="9"/>
      <c r="U436" s="7"/>
      <c r="V436" s="8"/>
      <c r="W436" s="7"/>
      <c r="X436" s="7"/>
      <c r="Y436" s="8"/>
      <c r="Z436" s="7"/>
      <c r="AA436" s="8"/>
    </row>
    <row r="437" spans="4:27" ht="14.25" thickTop="1" thickBot="1">
      <c r="D437" s="66"/>
      <c r="E437" s="52" t="s">
        <v>170</v>
      </c>
      <c r="F437" s="7"/>
      <c r="G437" s="8"/>
      <c r="H437" s="7"/>
      <c r="I437" s="6"/>
      <c r="J437" s="7"/>
      <c r="K437" s="8"/>
      <c r="L437" s="7"/>
      <c r="M437" s="8"/>
      <c r="N437" s="7"/>
      <c r="O437" s="8"/>
      <c r="P437" s="7"/>
      <c r="Q437" s="7"/>
      <c r="R437" s="8"/>
      <c r="S437" s="7"/>
      <c r="T437" s="9"/>
      <c r="U437" s="7"/>
      <c r="V437" s="8"/>
      <c r="W437" s="7"/>
      <c r="X437" s="7"/>
      <c r="Y437" s="8"/>
      <c r="Z437" s="7"/>
      <c r="AA437" s="8"/>
    </row>
    <row r="438" spans="4:27" ht="14.25" thickTop="1" thickBot="1">
      <c r="D438" s="66"/>
      <c r="E438" s="52" t="s">
        <v>171</v>
      </c>
      <c r="F438" s="7"/>
      <c r="G438" s="8"/>
      <c r="H438" s="7"/>
      <c r="I438" s="6"/>
      <c r="J438" s="7"/>
      <c r="K438" s="8"/>
      <c r="L438" s="7"/>
      <c r="M438" s="8"/>
      <c r="N438" s="7"/>
      <c r="O438" s="8"/>
      <c r="P438" s="7"/>
      <c r="Q438" s="7"/>
      <c r="R438" s="8"/>
      <c r="S438" s="7"/>
      <c r="T438" s="9"/>
      <c r="U438" s="7"/>
      <c r="V438" s="8"/>
      <c r="W438" s="7"/>
      <c r="X438" s="7"/>
      <c r="Y438" s="8"/>
      <c r="Z438" s="7"/>
      <c r="AA438" s="8"/>
    </row>
    <row r="439" spans="4:27" ht="14.25" thickTop="1" thickBot="1">
      <c r="D439" s="66"/>
      <c r="E439" s="52" t="s">
        <v>263</v>
      </c>
      <c r="F439" s="7"/>
      <c r="G439" s="8"/>
      <c r="H439" s="7"/>
      <c r="I439" s="6"/>
      <c r="J439" s="7"/>
      <c r="K439" s="8"/>
      <c r="L439" s="7"/>
      <c r="M439" s="8"/>
      <c r="N439" s="7"/>
      <c r="O439" s="8"/>
      <c r="P439" s="7"/>
      <c r="Q439" s="7"/>
      <c r="R439" s="8"/>
      <c r="S439" s="7"/>
      <c r="T439" s="9"/>
      <c r="U439" s="7"/>
      <c r="V439" s="8"/>
      <c r="W439" s="7"/>
      <c r="X439" s="7"/>
      <c r="Y439" s="8"/>
      <c r="Z439" s="7"/>
      <c r="AA439" s="8"/>
    </row>
    <row r="440" spans="4:27" ht="14.25" thickTop="1" thickBot="1">
      <c r="D440" s="66"/>
      <c r="E440" s="52" t="s">
        <v>231</v>
      </c>
      <c r="F440" s="7"/>
      <c r="G440" s="8"/>
      <c r="H440" s="7"/>
      <c r="I440" s="6"/>
      <c r="J440" s="7"/>
      <c r="K440" s="8"/>
      <c r="L440" s="7"/>
      <c r="M440" s="8"/>
      <c r="N440" s="7"/>
      <c r="O440" s="8"/>
      <c r="P440" s="7"/>
      <c r="Q440" s="7"/>
      <c r="R440" s="8"/>
      <c r="S440" s="7"/>
      <c r="T440" s="9"/>
      <c r="U440" s="7"/>
      <c r="V440" s="8"/>
      <c r="W440" s="7"/>
      <c r="X440" s="7"/>
      <c r="Y440" s="8"/>
      <c r="Z440" s="7"/>
      <c r="AA440" s="8"/>
    </row>
    <row r="441" spans="4:27" ht="14.25" thickTop="1" thickBot="1">
      <c r="D441" s="66"/>
      <c r="E441" s="52" t="s">
        <v>172</v>
      </c>
      <c r="F441" s="7"/>
      <c r="G441" s="8"/>
      <c r="H441" s="7"/>
      <c r="I441" s="6"/>
      <c r="J441" s="7"/>
      <c r="K441" s="8"/>
      <c r="L441" s="7"/>
      <c r="M441" s="8"/>
      <c r="N441" s="7"/>
      <c r="O441" s="8"/>
      <c r="P441" s="7"/>
      <c r="Q441" s="7"/>
      <c r="R441" s="8"/>
      <c r="S441" s="7"/>
      <c r="T441" s="9"/>
      <c r="U441" s="7"/>
      <c r="V441" s="8"/>
      <c r="W441" s="7"/>
      <c r="X441" s="7"/>
      <c r="Y441" s="8"/>
      <c r="Z441" s="7"/>
      <c r="AA441" s="8"/>
    </row>
    <row r="442" spans="4:27" ht="14.25" thickTop="1" thickBot="1">
      <c r="D442" s="66"/>
      <c r="E442" s="52" t="s">
        <v>173</v>
      </c>
      <c r="F442" s="7"/>
      <c r="G442" s="8"/>
      <c r="H442" s="7"/>
      <c r="I442" s="6"/>
      <c r="J442" s="7"/>
      <c r="K442" s="8"/>
      <c r="L442" s="7"/>
      <c r="M442" s="8"/>
      <c r="N442" s="7"/>
      <c r="O442" s="8"/>
      <c r="P442" s="7"/>
      <c r="Q442" s="7"/>
      <c r="R442" s="8"/>
      <c r="S442" s="7"/>
      <c r="T442" s="9"/>
      <c r="U442" s="7"/>
      <c r="V442" s="8"/>
      <c r="W442" s="7"/>
      <c r="X442" s="7"/>
      <c r="Y442" s="8"/>
      <c r="Z442" s="7"/>
      <c r="AA442" s="8"/>
    </row>
    <row r="443" spans="4:27" ht="14.25" thickTop="1" thickBot="1">
      <c r="D443" s="66"/>
      <c r="E443" s="52" t="s">
        <v>264</v>
      </c>
      <c r="F443" s="7"/>
      <c r="G443" s="8"/>
      <c r="H443" s="7"/>
      <c r="I443" s="6"/>
      <c r="J443" s="7"/>
      <c r="K443" s="8"/>
      <c r="L443" s="7"/>
      <c r="M443" s="8"/>
      <c r="N443" s="7"/>
      <c r="O443" s="8"/>
      <c r="P443" s="7"/>
      <c r="Q443" s="7"/>
      <c r="R443" s="8"/>
      <c r="S443" s="7"/>
      <c r="T443" s="9"/>
      <c r="U443" s="7"/>
      <c r="V443" s="8"/>
      <c r="W443" s="7"/>
      <c r="X443" s="7"/>
      <c r="Y443" s="8"/>
      <c r="Z443" s="7"/>
      <c r="AA443" s="8"/>
    </row>
    <row r="444" spans="4:27" ht="14.25" thickTop="1" thickBot="1">
      <c r="D444" s="66"/>
      <c r="E444" s="52" t="s">
        <v>1033</v>
      </c>
      <c r="F444" s="7"/>
      <c r="G444" s="8"/>
      <c r="H444" s="7"/>
      <c r="I444" s="6"/>
      <c r="J444" s="7"/>
      <c r="K444" s="8"/>
      <c r="L444" s="7"/>
      <c r="M444" s="8"/>
      <c r="N444" s="7"/>
      <c r="O444" s="8"/>
      <c r="P444" s="7"/>
      <c r="Q444" s="7"/>
      <c r="R444" s="8"/>
      <c r="S444" s="7"/>
      <c r="T444" s="9"/>
      <c r="U444" s="7"/>
      <c r="V444" s="8"/>
      <c r="W444" s="7"/>
      <c r="X444" s="7"/>
      <c r="Y444" s="8"/>
      <c r="Z444" s="7"/>
      <c r="AA444" s="8"/>
    </row>
    <row r="445" spans="4:27" ht="14.25" thickTop="1" thickBot="1">
      <c r="D445" s="66"/>
      <c r="E445" s="52" t="s">
        <v>232</v>
      </c>
      <c r="F445" s="7"/>
      <c r="G445" s="8"/>
      <c r="H445" s="7"/>
      <c r="I445" s="6"/>
      <c r="J445" s="7"/>
      <c r="K445" s="8"/>
      <c r="L445" s="7"/>
      <c r="M445" s="8"/>
      <c r="N445" s="7"/>
      <c r="O445" s="8"/>
      <c r="P445" s="7"/>
      <c r="Q445" s="7"/>
      <c r="R445" s="8"/>
      <c r="S445" s="7"/>
      <c r="T445" s="9"/>
      <c r="U445" s="7"/>
      <c r="V445" s="8"/>
      <c r="W445" s="7"/>
      <c r="X445" s="7"/>
      <c r="Y445" s="8"/>
      <c r="Z445" s="7"/>
      <c r="AA445" s="8"/>
    </row>
    <row r="446" spans="4:27" ht="14.25" thickTop="1" thickBot="1">
      <c r="D446" s="66"/>
      <c r="E446" s="52" t="s">
        <v>265</v>
      </c>
      <c r="F446" s="7"/>
      <c r="G446" s="8"/>
      <c r="H446" s="7"/>
      <c r="I446" s="6"/>
      <c r="J446" s="7"/>
      <c r="K446" s="8"/>
      <c r="L446" s="7"/>
      <c r="M446" s="8"/>
      <c r="N446" s="7"/>
      <c r="O446" s="8"/>
      <c r="P446" s="7"/>
      <c r="Q446" s="7"/>
      <c r="R446" s="8"/>
      <c r="S446" s="7"/>
      <c r="T446" s="9"/>
      <c r="U446" s="7"/>
      <c r="V446" s="8"/>
      <c r="W446" s="7"/>
      <c r="X446" s="7"/>
      <c r="Y446" s="8"/>
      <c r="Z446" s="7"/>
      <c r="AA446" s="8"/>
    </row>
    <row r="447" spans="4:27" ht="14.25" thickTop="1" thickBot="1">
      <c r="D447" s="66"/>
      <c r="E447" s="52" t="s">
        <v>175</v>
      </c>
      <c r="F447" s="7"/>
      <c r="G447" s="8"/>
      <c r="H447" s="7"/>
      <c r="I447" s="6"/>
      <c r="J447" s="7"/>
      <c r="K447" s="8"/>
      <c r="L447" s="7"/>
      <c r="M447" s="8"/>
      <c r="N447" s="7"/>
      <c r="O447" s="8"/>
      <c r="P447" s="7"/>
      <c r="Q447" s="7"/>
      <c r="R447" s="8"/>
      <c r="S447" s="7"/>
      <c r="T447" s="9"/>
      <c r="U447" s="7"/>
      <c r="V447" s="8"/>
      <c r="W447" s="7"/>
      <c r="X447" s="7"/>
      <c r="Y447" s="8"/>
      <c r="Z447" s="7"/>
      <c r="AA447" s="8"/>
    </row>
    <row r="448" spans="4:27" ht="14.25" thickTop="1" thickBot="1">
      <c r="D448" s="66"/>
      <c r="E448" s="52" t="s">
        <v>266</v>
      </c>
      <c r="F448" s="7"/>
      <c r="G448" s="8"/>
      <c r="H448" s="7"/>
      <c r="I448" s="6"/>
      <c r="J448" s="7"/>
      <c r="K448" s="8"/>
      <c r="L448" s="7"/>
      <c r="M448" s="8"/>
      <c r="N448" s="7"/>
      <c r="O448" s="8"/>
      <c r="P448" s="7"/>
      <c r="Q448" s="7"/>
      <c r="R448" s="8"/>
      <c r="S448" s="7"/>
      <c r="T448" s="9"/>
      <c r="U448" s="7"/>
      <c r="V448" s="8"/>
      <c r="W448" s="7"/>
      <c r="X448" s="7"/>
      <c r="Y448" s="8"/>
      <c r="Z448" s="7"/>
      <c r="AA448" s="8"/>
    </row>
    <row r="449" spans="4:27" ht="14.25" thickTop="1" thickBot="1">
      <c r="D449" s="66"/>
      <c r="E449" s="52" t="s">
        <v>267</v>
      </c>
      <c r="F449" s="7"/>
      <c r="G449" s="8"/>
      <c r="H449" s="7"/>
      <c r="I449" s="6"/>
      <c r="J449" s="7"/>
      <c r="K449" s="8"/>
      <c r="L449" s="7"/>
      <c r="M449" s="8"/>
      <c r="N449" s="7"/>
      <c r="O449" s="8"/>
      <c r="P449" s="7"/>
      <c r="Q449" s="7"/>
      <c r="R449" s="8"/>
      <c r="S449" s="7"/>
      <c r="T449" s="9"/>
      <c r="U449" s="7"/>
      <c r="V449" s="8"/>
      <c r="W449" s="7"/>
      <c r="X449" s="7"/>
      <c r="Y449" s="8"/>
      <c r="Z449" s="7"/>
      <c r="AA449" s="8"/>
    </row>
    <row r="450" spans="4:27" ht="14.25" thickTop="1" thickBot="1">
      <c r="D450" s="66"/>
      <c r="E450" s="52" t="s">
        <v>176</v>
      </c>
      <c r="F450" s="7"/>
      <c r="G450" s="8"/>
      <c r="H450" s="7"/>
      <c r="I450" s="6"/>
      <c r="J450" s="7"/>
      <c r="K450" s="8"/>
      <c r="L450" s="7"/>
      <c r="M450" s="8"/>
      <c r="N450" s="7"/>
      <c r="O450" s="8"/>
      <c r="P450" s="7"/>
      <c r="Q450" s="7"/>
      <c r="R450" s="8"/>
      <c r="S450" s="7"/>
      <c r="T450" s="9"/>
      <c r="U450" s="7"/>
      <c r="V450" s="8"/>
      <c r="W450" s="7"/>
      <c r="X450" s="7"/>
      <c r="Y450" s="8"/>
      <c r="Z450" s="7"/>
      <c r="AA450" s="8"/>
    </row>
    <row r="451" spans="4:27" ht="14.25" thickTop="1" thickBot="1">
      <c r="D451" s="66"/>
      <c r="E451" s="52" t="s">
        <v>268</v>
      </c>
      <c r="F451" s="7"/>
      <c r="G451" s="8"/>
      <c r="H451" s="7"/>
      <c r="I451" s="6"/>
      <c r="J451" s="7"/>
      <c r="K451" s="8"/>
      <c r="L451" s="7"/>
      <c r="M451" s="8"/>
      <c r="N451" s="7"/>
      <c r="O451" s="8"/>
      <c r="P451" s="7"/>
      <c r="Q451" s="7"/>
      <c r="R451" s="8"/>
      <c r="S451" s="7"/>
      <c r="T451" s="9"/>
      <c r="U451" s="7"/>
      <c r="V451" s="8"/>
      <c r="W451" s="7"/>
      <c r="X451" s="7"/>
      <c r="Y451" s="8"/>
      <c r="Z451" s="7"/>
      <c r="AA451" s="8"/>
    </row>
    <row r="452" spans="4:27" ht="14.25" thickTop="1" thickBot="1">
      <c r="D452" s="66"/>
      <c r="E452" s="52" t="s">
        <v>269</v>
      </c>
      <c r="F452" s="7"/>
      <c r="G452" s="8"/>
      <c r="H452" s="7"/>
      <c r="I452" s="6"/>
      <c r="J452" s="7"/>
      <c r="K452" s="8"/>
      <c r="L452" s="7"/>
      <c r="M452" s="8"/>
      <c r="N452" s="7"/>
      <c r="O452" s="8"/>
      <c r="P452" s="7"/>
      <c r="Q452" s="7"/>
      <c r="R452" s="8"/>
      <c r="S452" s="7"/>
      <c r="T452" s="9"/>
      <c r="U452" s="7"/>
      <c r="V452" s="8"/>
      <c r="W452" s="7"/>
      <c r="X452" s="7"/>
      <c r="Y452" s="8"/>
      <c r="Z452" s="7"/>
      <c r="AA452" s="8"/>
    </row>
    <row r="453" spans="4:27" ht="14.25" thickTop="1" thickBot="1">
      <c r="D453" s="66"/>
      <c r="E453" s="52" t="s">
        <v>1045</v>
      </c>
      <c r="F453" s="7"/>
      <c r="G453" s="8"/>
      <c r="H453" s="7"/>
      <c r="I453" s="6"/>
      <c r="J453" s="7"/>
      <c r="K453" s="8"/>
      <c r="L453" s="7"/>
      <c r="M453" s="8"/>
      <c r="N453" s="7"/>
      <c r="O453" s="8"/>
      <c r="P453" s="7"/>
      <c r="Q453" s="7"/>
      <c r="R453" s="8"/>
      <c r="S453" s="7"/>
      <c r="T453" s="9"/>
      <c r="U453" s="7"/>
      <c r="V453" s="8"/>
      <c r="W453" s="7"/>
      <c r="X453" s="7"/>
      <c r="Y453" s="8"/>
      <c r="Z453" s="7"/>
      <c r="AA453" s="8"/>
    </row>
    <row r="454" spans="4:27" ht="14.25" thickTop="1" thickBot="1">
      <c r="D454" s="66"/>
      <c r="E454" s="52" t="s">
        <v>215</v>
      </c>
      <c r="F454" s="7"/>
      <c r="G454" s="8"/>
      <c r="H454" s="7"/>
      <c r="I454" s="6"/>
      <c r="J454" s="7"/>
      <c r="K454" s="8"/>
      <c r="L454" s="7"/>
      <c r="M454" s="8"/>
      <c r="N454" s="7"/>
      <c r="O454" s="8"/>
      <c r="P454" s="7"/>
      <c r="Q454" s="7"/>
      <c r="R454" s="8"/>
      <c r="S454" s="7"/>
      <c r="T454" s="9"/>
      <c r="U454" s="7"/>
      <c r="V454" s="8"/>
      <c r="W454" s="7"/>
      <c r="X454" s="7"/>
      <c r="Y454" s="8"/>
      <c r="Z454" s="7"/>
      <c r="AA454" s="8"/>
    </row>
    <row r="455" spans="4:27" ht="14.25" thickTop="1" thickBot="1">
      <c r="D455" s="66"/>
      <c r="E455" s="52" t="s">
        <v>1288</v>
      </c>
      <c r="F455" s="7"/>
      <c r="G455" s="8"/>
      <c r="H455" s="7"/>
      <c r="I455" s="6"/>
      <c r="J455" s="7"/>
      <c r="K455" s="8"/>
      <c r="L455" s="7"/>
      <c r="M455" s="8"/>
      <c r="N455" s="7"/>
      <c r="O455" s="8"/>
      <c r="P455" s="7"/>
      <c r="Q455" s="7"/>
      <c r="R455" s="8"/>
      <c r="S455" s="7"/>
      <c r="T455" s="9"/>
      <c r="U455" s="7"/>
      <c r="V455" s="8"/>
      <c r="W455" s="7"/>
      <c r="X455" s="7"/>
      <c r="Y455" s="8"/>
      <c r="Z455" s="7"/>
      <c r="AA455" s="8"/>
    </row>
    <row r="456" spans="4:27" ht="14.25" thickTop="1" thickBot="1">
      <c r="D456" s="66"/>
      <c r="E456" s="52" t="s">
        <v>217</v>
      </c>
      <c r="F456" s="7"/>
      <c r="G456" s="8"/>
      <c r="H456" s="7"/>
      <c r="I456" s="6"/>
      <c r="J456" s="7"/>
      <c r="K456" s="8"/>
      <c r="L456" s="7"/>
      <c r="M456" s="8"/>
      <c r="N456" s="7"/>
      <c r="O456" s="8"/>
      <c r="P456" s="7"/>
      <c r="Q456" s="7"/>
      <c r="R456" s="8"/>
      <c r="S456" s="7"/>
      <c r="T456" s="9"/>
      <c r="U456" s="7"/>
      <c r="V456" s="8"/>
      <c r="W456" s="7"/>
      <c r="X456" s="7"/>
      <c r="Y456" s="8"/>
      <c r="Z456" s="7"/>
      <c r="AA456" s="8"/>
    </row>
    <row r="457" spans="4:27" ht="14.25" thickTop="1" thickBot="1">
      <c r="D457" s="66"/>
      <c r="E457" s="52" t="s">
        <v>1038</v>
      </c>
      <c r="F457" s="7"/>
      <c r="G457" s="8"/>
      <c r="H457" s="7"/>
      <c r="I457" s="6"/>
      <c r="J457" s="7"/>
      <c r="K457" s="8"/>
      <c r="L457" s="7"/>
      <c r="M457" s="8"/>
      <c r="N457" s="7"/>
      <c r="O457" s="8"/>
      <c r="P457" s="7"/>
      <c r="Q457" s="7"/>
      <c r="R457" s="8"/>
      <c r="S457" s="7"/>
      <c r="T457" s="9"/>
      <c r="U457" s="7"/>
      <c r="V457" s="8"/>
      <c r="W457" s="7"/>
      <c r="X457" s="7"/>
      <c r="Y457" s="8"/>
      <c r="Z457" s="7"/>
      <c r="AA457" s="8"/>
    </row>
    <row r="458" spans="4:27" ht="14.25" thickTop="1" thickBot="1">
      <c r="D458" s="66"/>
      <c r="F458" s="7"/>
      <c r="G458" s="8"/>
      <c r="H458" s="7"/>
      <c r="I458" s="6"/>
      <c r="J458" s="7"/>
      <c r="K458" s="8"/>
      <c r="L458" s="7"/>
      <c r="M458" s="8"/>
      <c r="N458" s="7"/>
      <c r="O458" s="8"/>
      <c r="P458" s="7"/>
      <c r="Q458" s="7"/>
      <c r="R458" s="8"/>
      <c r="S458" s="7"/>
      <c r="T458" s="9"/>
      <c r="U458" s="7"/>
      <c r="V458" s="8"/>
      <c r="W458" s="7"/>
      <c r="X458" s="7"/>
      <c r="Y458" s="8"/>
      <c r="Z458" s="7"/>
      <c r="AA458" s="8"/>
    </row>
    <row r="459" spans="4:27" ht="14.25" thickTop="1" thickBot="1">
      <c r="D459" s="66"/>
      <c r="F459" s="7"/>
      <c r="G459" s="8"/>
      <c r="H459" s="7"/>
      <c r="I459" s="6"/>
      <c r="J459" s="7"/>
      <c r="K459" s="8"/>
      <c r="L459" s="7"/>
      <c r="M459" s="8"/>
      <c r="N459" s="7"/>
      <c r="O459" s="8"/>
      <c r="P459" s="7"/>
      <c r="Q459" s="7"/>
      <c r="R459" s="8"/>
      <c r="S459" s="7"/>
      <c r="T459" s="9"/>
      <c r="U459" s="7"/>
      <c r="V459" s="8"/>
      <c r="W459" s="7"/>
      <c r="X459" s="7"/>
      <c r="Y459" s="8"/>
      <c r="Z459" s="7"/>
      <c r="AA459" s="8"/>
    </row>
    <row r="460" spans="4:27" ht="14.25" thickTop="1" thickBot="1">
      <c r="D460" s="66"/>
      <c r="F460" s="7"/>
      <c r="G460" s="8"/>
      <c r="H460" s="7"/>
      <c r="I460" s="6"/>
      <c r="J460" s="7"/>
      <c r="K460" s="8"/>
      <c r="L460" s="7"/>
      <c r="M460" s="8"/>
      <c r="N460" s="7"/>
      <c r="O460" s="8"/>
      <c r="P460" s="7"/>
      <c r="Q460" s="7"/>
      <c r="R460" s="8"/>
      <c r="S460" s="7"/>
      <c r="T460" s="9"/>
      <c r="U460" s="7"/>
      <c r="V460" s="8"/>
      <c r="W460" s="7"/>
      <c r="X460" s="7"/>
      <c r="Y460" s="8"/>
      <c r="Z460" s="7"/>
      <c r="AA460" s="8"/>
    </row>
    <row r="461" spans="4:27" ht="14.25" thickTop="1" thickBot="1">
      <c r="D461" s="66"/>
      <c r="F461" s="7"/>
      <c r="G461" s="8"/>
      <c r="H461" s="7"/>
      <c r="I461" s="6"/>
      <c r="J461" s="7"/>
      <c r="K461" s="8"/>
      <c r="L461" s="7"/>
      <c r="M461" s="8"/>
      <c r="N461" s="7"/>
      <c r="O461" s="8"/>
      <c r="P461" s="7"/>
      <c r="Q461" s="7"/>
      <c r="R461" s="8"/>
      <c r="S461" s="7"/>
      <c r="T461" s="9"/>
      <c r="U461" s="7"/>
      <c r="V461" s="8"/>
      <c r="W461" s="7"/>
      <c r="X461" s="7"/>
      <c r="Y461" s="8"/>
      <c r="Z461" s="7"/>
      <c r="AA461" s="8"/>
    </row>
    <row r="462" spans="4:27" ht="14.25" thickTop="1" thickBot="1">
      <c r="D462" s="66"/>
      <c r="F462" s="7"/>
      <c r="G462" s="8"/>
      <c r="H462" s="7"/>
      <c r="I462" s="6"/>
      <c r="J462" s="7"/>
      <c r="K462" s="8"/>
      <c r="L462" s="7"/>
      <c r="M462" s="8"/>
      <c r="N462" s="7"/>
      <c r="O462" s="8"/>
      <c r="P462" s="7"/>
      <c r="Q462" s="7"/>
      <c r="R462" s="8"/>
      <c r="S462" s="7"/>
      <c r="T462" s="9"/>
      <c r="U462" s="7"/>
      <c r="V462" s="8"/>
      <c r="W462" s="7"/>
      <c r="X462" s="7"/>
      <c r="Y462" s="8"/>
      <c r="Z462" s="7"/>
      <c r="AA462" s="8"/>
    </row>
    <row r="463" spans="4:27" ht="14.25" thickTop="1" thickBot="1">
      <c r="D463" s="66"/>
      <c r="F463" s="7"/>
      <c r="G463" s="8"/>
      <c r="H463" s="7"/>
      <c r="I463" s="6"/>
      <c r="J463" s="7"/>
      <c r="K463" s="8"/>
      <c r="L463" s="7"/>
      <c r="M463" s="8"/>
      <c r="N463" s="7"/>
      <c r="O463" s="8"/>
      <c r="P463" s="7"/>
      <c r="Q463" s="7"/>
      <c r="R463" s="8"/>
      <c r="S463" s="7"/>
      <c r="T463" s="9"/>
      <c r="U463" s="7"/>
      <c r="V463" s="8"/>
      <c r="W463" s="7"/>
      <c r="X463" s="7"/>
      <c r="Y463" s="8"/>
      <c r="Z463" s="7"/>
      <c r="AA463" s="8"/>
    </row>
    <row r="464" spans="4:27" ht="14.25" thickTop="1" thickBot="1">
      <c r="D464" s="66"/>
      <c r="F464" s="7"/>
      <c r="G464" s="8"/>
      <c r="H464" s="7"/>
      <c r="I464" s="6"/>
      <c r="J464" s="7"/>
      <c r="K464" s="8"/>
      <c r="L464" s="7"/>
      <c r="M464" s="8"/>
      <c r="N464" s="7"/>
      <c r="O464" s="8"/>
      <c r="P464" s="7"/>
      <c r="Q464" s="7"/>
      <c r="R464" s="8"/>
      <c r="S464" s="7"/>
      <c r="T464" s="9"/>
      <c r="U464" s="7"/>
      <c r="V464" s="8"/>
      <c r="W464" s="7"/>
      <c r="X464" s="7"/>
      <c r="Y464" s="8"/>
      <c r="Z464" s="7"/>
      <c r="AA464" s="8"/>
    </row>
    <row r="465" spans="4:27" ht="14.25" thickTop="1" thickBot="1">
      <c r="D465" s="66"/>
      <c r="F465" s="7"/>
      <c r="G465" s="8"/>
      <c r="H465" s="7"/>
      <c r="I465" s="6"/>
      <c r="J465" s="7"/>
      <c r="K465" s="8"/>
      <c r="L465" s="7"/>
      <c r="M465" s="8"/>
      <c r="N465" s="7"/>
      <c r="O465" s="8"/>
      <c r="P465" s="7"/>
      <c r="Q465" s="7"/>
      <c r="R465" s="8"/>
      <c r="S465" s="7"/>
      <c r="T465" s="9"/>
      <c r="U465" s="7"/>
      <c r="V465" s="8"/>
      <c r="W465" s="7"/>
      <c r="X465" s="7"/>
      <c r="Y465" s="8"/>
      <c r="Z465" s="7"/>
      <c r="AA465" s="8"/>
    </row>
    <row r="466" spans="4:27" ht="14.25" thickTop="1" thickBot="1">
      <c r="D466" s="66"/>
      <c r="F466" s="7"/>
      <c r="G466" s="8"/>
      <c r="H466" s="7"/>
      <c r="I466" s="6"/>
      <c r="J466" s="7"/>
      <c r="K466" s="8"/>
      <c r="L466" s="7"/>
      <c r="M466" s="8"/>
      <c r="N466" s="7"/>
      <c r="O466" s="8"/>
      <c r="P466" s="7"/>
      <c r="Q466" s="7"/>
      <c r="R466" s="8"/>
      <c r="S466" s="7"/>
      <c r="T466" s="9"/>
      <c r="U466" s="7"/>
      <c r="V466" s="8"/>
      <c r="W466" s="7"/>
      <c r="X466" s="7"/>
      <c r="Y466" s="8"/>
      <c r="Z466" s="7"/>
      <c r="AA466" s="8"/>
    </row>
    <row r="467" spans="4:27" ht="14.25" thickTop="1" thickBot="1">
      <c r="D467" s="66"/>
      <c r="F467" s="7"/>
      <c r="G467" s="8"/>
      <c r="H467" s="7"/>
      <c r="I467" s="6"/>
      <c r="J467" s="7"/>
      <c r="K467" s="8"/>
      <c r="L467" s="7"/>
      <c r="M467" s="8"/>
      <c r="N467" s="7"/>
      <c r="O467" s="8"/>
      <c r="P467" s="7"/>
      <c r="Q467" s="7"/>
      <c r="R467" s="8"/>
      <c r="S467" s="7"/>
      <c r="T467" s="9"/>
      <c r="U467" s="7"/>
      <c r="V467" s="8"/>
      <c r="W467" s="7"/>
      <c r="X467" s="7"/>
      <c r="Y467" s="8"/>
      <c r="Z467" s="7"/>
      <c r="AA467" s="8"/>
    </row>
    <row r="468" spans="4:27" ht="14.25" thickTop="1" thickBot="1">
      <c r="D468" s="66"/>
      <c r="F468" s="7"/>
      <c r="G468" s="8"/>
      <c r="H468" s="7"/>
      <c r="I468" s="6"/>
      <c r="J468" s="7"/>
      <c r="K468" s="8"/>
      <c r="L468" s="7"/>
      <c r="M468" s="8"/>
      <c r="N468" s="7"/>
      <c r="O468" s="8"/>
      <c r="P468" s="7"/>
      <c r="Q468" s="7"/>
      <c r="R468" s="8"/>
      <c r="S468" s="7"/>
      <c r="T468" s="9"/>
      <c r="U468" s="7"/>
      <c r="V468" s="8"/>
      <c r="W468" s="7"/>
      <c r="X468" s="7"/>
      <c r="Y468" s="8"/>
      <c r="Z468" s="7"/>
      <c r="AA468" s="8"/>
    </row>
    <row r="469" spans="4:27" ht="14.25" thickTop="1" thickBot="1">
      <c r="D469" s="66"/>
      <c r="F469" s="7"/>
      <c r="G469" s="8"/>
      <c r="H469" s="7"/>
      <c r="I469" s="6"/>
      <c r="J469" s="7"/>
      <c r="K469" s="8"/>
      <c r="L469" s="7"/>
      <c r="M469" s="8"/>
      <c r="N469" s="7"/>
      <c r="O469" s="8"/>
      <c r="P469" s="7"/>
      <c r="Q469" s="7"/>
      <c r="R469" s="8"/>
      <c r="S469" s="7"/>
      <c r="T469" s="9"/>
      <c r="U469" s="7"/>
      <c r="V469" s="8"/>
      <c r="W469" s="7"/>
      <c r="X469" s="7"/>
      <c r="Y469" s="8"/>
      <c r="Z469" s="7"/>
      <c r="AA469" s="8"/>
    </row>
    <row r="470" spans="4:27" ht="14.25" thickTop="1" thickBot="1">
      <c r="D470" s="66"/>
      <c r="F470" s="7"/>
      <c r="G470" s="8"/>
      <c r="H470" s="7"/>
      <c r="I470" s="6"/>
      <c r="J470" s="7"/>
      <c r="K470" s="8"/>
      <c r="L470" s="7"/>
      <c r="M470" s="8"/>
      <c r="N470" s="7"/>
      <c r="O470" s="8"/>
      <c r="P470" s="7"/>
      <c r="Q470" s="7"/>
      <c r="R470" s="8"/>
      <c r="S470" s="7"/>
      <c r="T470" s="9"/>
      <c r="U470" s="7"/>
      <c r="V470" s="8"/>
      <c r="W470" s="7"/>
      <c r="X470" s="7"/>
      <c r="Y470" s="8"/>
      <c r="Z470" s="7"/>
      <c r="AA470" s="8"/>
    </row>
    <row r="471" spans="4:27" ht="14.25" thickTop="1" thickBot="1">
      <c r="D471" s="66"/>
      <c r="F471" s="7"/>
      <c r="G471" s="8"/>
      <c r="H471" s="7"/>
      <c r="I471" s="6"/>
      <c r="J471" s="7"/>
      <c r="K471" s="8"/>
      <c r="L471" s="7"/>
      <c r="M471" s="8"/>
      <c r="N471" s="7"/>
      <c r="O471" s="8"/>
      <c r="P471" s="7"/>
      <c r="Q471" s="7"/>
      <c r="R471" s="8"/>
      <c r="S471" s="7"/>
      <c r="T471" s="9"/>
      <c r="U471" s="7"/>
      <c r="V471" s="8"/>
      <c r="W471" s="7"/>
      <c r="X471" s="7"/>
      <c r="Y471" s="8"/>
      <c r="Z471" s="7"/>
      <c r="AA471" s="8"/>
    </row>
    <row r="472" spans="4:27" ht="14.25" thickTop="1" thickBot="1">
      <c r="D472" s="66"/>
      <c r="F472" s="7"/>
      <c r="G472" s="8"/>
      <c r="H472" s="7"/>
      <c r="I472" s="6"/>
      <c r="J472" s="7"/>
      <c r="K472" s="8"/>
      <c r="L472" s="7"/>
      <c r="M472" s="8"/>
      <c r="N472" s="7"/>
      <c r="O472" s="8"/>
      <c r="P472" s="7"/>
      <c r="Q472" s="7"/>
      <c r="R472" s="8"/>
      <c r="S472" s="7"/>
      <c r="T472" s="9"/>
      <c r="U472" s="7"/>
      <c r="V472" s="8"/>
      <c r="W472" s="7"/>
      <c r="X472" s="7"/>
      <c r="Y472" s="8"/>
      <c r="Z472" s="7"/>
      <c r="AA472" s="8"/>
    </row>
    <row r="473" spans="4:27" ht="14.25" thickTop="1" thickBot="1">
      <c r="D473" s="66"/>
      <c r="F473" s="7"/>
      <c r="G473" s="8"/>
      <c r="H473" s="7"/>
      <c r="I473" s="6"/>
      <c r="J473" s="7"/>
      <c r="K473" s="8"/>
      <c r="L473" s="7"/>
      <c r="M473" s="8"/>
      <c r="N473" s="7"/>
      <c r="O473" s="8"/>
      <c r="P473" s="7"/>
      <c r="Q473" s="7"/>
      <c r="R473" s="8"/>
      <c r="S473" s="7"/>
      <c r="T473" s="9"/>
      <c r="U473" s="7"/>
      <c r="V473" s="8"/>
      <c r="W473" s="7"/>
      <c r="X473" s="7"/>
      <c r="Y473" s="8"/>
      <c r="Z473" s="7"/>
      <c r="AA473" s="8"/>
    </row>
    <row r="474" spans="4:27" ht="14.25" thickTop="1" thickBot="1">
      <c r="D474" s="66"/>
      <c r="F474" s="7"/>
      <c r="G474" s="8"/>
      <c r="H474" s="7"/>
      <c r="I474" s="6"/>
      <c r="J474" s="7"/>
      <c r="K474" s="8"/>
      <c r="L474" s="7"/>
      <c r="M474" s="8"/>
      <c r="N474" s="7"/>
      <c r="O474" s="8"/>
      <c r="P474" s="7"/>
      <c r="Q474" s="7"/>
      <c r="R474" s="8"/>
      <c r="S474" s="7"/>
      <c r="T474" s="9"/>
      <c r="U474" s="7"/>
      <c r="V474" s="8"/>
      <c r="W474" s="7"/>
      <c r="X474" s="7"/>
      <c r="Y474" s="8"/>
      <c r="Z474" s="7"/>
      <c r="AA474" s="8"/>
    </row>
    <row r="475" spans="4:27" ht="14.25" thickTop="1" thickBot="1">
      <c r="D475" s="66"/>
      <c r="F475" s="7"/>
      <c r="G475" s="8"/>
      <c r="H475" s="7"/>
      <c r="I475" s="6"/>
      <c r="J475" s="7"/>
      <c r="K475" s="8"/>
      <c r="L475" s="7"/>
      <c r="M475" s="8"/>
      <c r="N475" s="7"/>
      <c r="O475" s="8"/>
      <c r="P475" s="7"/>
      <c r="Q475" s="7"/>
      <c r="R475" s="8"/>
      <c r="S475" s="7"/>
      <c r="T475" s="9"/>
      <c r="U475" s="7"/>
      <c r="V475" s="8"/>
      <c r="W475" s="7"/>
      <c r="X475" s="7"/>
      <c r="Y475" s="8"/>
      <c r="Z475" s="7"/>
      <c r="AA475" s="8"/>
    </row>
    <row r="476" spans="4:27" ht="14.25" thickTop="1" thickBot="1">
      <c r="D476" s="66"/>
      <c r="F476" s="7"/>
      <c r="G476" s="8"/>
      <c r="H476" s="7"/>
      <c r="I476" s="6"/>
      <c r="J476" s="7"/>
      <c r="K476" s="8"/>
      <c r="L476" s="7"/>
      <c r="M476" s="8"/>
      <c r="N476" s="7"/>
      <c r="O476" s="8"/>
      <c r="P476" s="7"/>
      <c r="Q476" s="7"/>
      <c r="R476" s="8"/>
      <c r="S476" s="7"/>
      <c r="T476" s="9"/>
      <c r="U476" s="7"/>
      <c r="V476" s="8"/>
      <c r="W476" s="7"/>
      <c r="X476" s="7"/>
      <c r="Y476" s="8"/>
      <c r="Z476" s="7"/>
      <c r="AA476" s="8"/>
    </row>
    <row r="477" spans="4:27" ht="14.25" thickTop="1" thickBot="1">
      <c r="D477" s="66"/>
      <c r="F477" s="7"/>
      <c r="G477" s="8"/>
      <c r="H477" s="7"/>
      <c r="I477" s="6"/>
      <c r="J477" s="7"/>
      <c r="K477" s="8"/>
      <c r="L477" s="7"/>
      <c r="M477" s="8"/>
      <c r="N477" s="7"/>
      <c r="O477" s="8"/>
      <c r="P477" s="7"/>
      <c r="Q477" s="7"/>
      <c r="R477" s="8"/>
      <c r="S477" s="7"/>
      <c r="T477" s="9"/>
      <c r="U477" s="7"/>
      <c r="V477" s="8"/>
      <c r="W477" s="7"/>
      <c r="X477" s="7"/>
      <c r="Y477" s="8"/>
      <c r="Z477" s="7"/>
      <c r="AA477" s="8"/>
    </row>
    <row r="478" spans="4:27" ht="14.25" thickTop="1" thickBot="1">
      <c r="D478" s="66"/>
      <c r="F478" s="7"/>
      <c r="G478" s="8"/>
      <c r="H478" s="7"/>
      <c r="I478" s="6"/>
      <c r="J478" s="7"/>
      <c r="K478" s="8"/>
      <c r="L478" s="7"/>
      <c r="M478" s="8"/>
      <c r="N478" s="7"/>
      <c r="O478" s="8"/>
      <c r="P478" s="7"/>
      <c r="Q478" s="7"/>
      <c r="R478" s="8"/>
      <c r="S478" s="7"/>
      <c r="T478" s="9"/>
      <c r="U478" s="7"/>
      <c r="V478" s="8"/>
      <c r="W478" s="7"/>
      <c r="X478" s="7"/>
      <c r="Y478" s="8"/>
      <c r="Z478" s="7"/>
      <c r="AA478" s="8"/>
    </row>
    <row r="479" spans="4:27" ht="14.25" thickTop="1" thickBot="1">
      <c r="D479" s="66"/>
      <c r="F479" s="7"/>
      <c r="G479" s="8"/>
      <c r="H479" s="7"/>
      <c r="I479" s="6"/>
      <c r="J479" s="7"/>
      <c r="K479" s="8"/>
      <c r="L479" s="7"/>
      <c r="M479" s="8"/>
      <c r="N479" s="7"/>
      <c r="O479" s="8"/>
      <c r="P479" s="7"/>
      <c r="Q479" s="7"/>
      <c r="R479" s="8"/>
      <c r="S479" s="7"/>
      <c r="T479" s="9"/>
      <c r="U479" s="7"/>
      <c r="V479" s="8"/>
      <c r="W479" s="7"/>
      <c r="X479" s="7"/>
      <c r="Y479" s="8"/>
      <c r="Z479" s="7"/>
      <c r="AA479" s="8"/>
    </row>
    <row r="480" spans="4:27" ht="14.25" thickTop="1" thickBot="1">
      <c r="D480" s="66"/>
      <c r="F480" s="7"/>
      <c r="G480" s="8"/>
      <c r="H480" s="7"/>
      <c r="I480" s="6"/>
      <c r="J480" s="7"/>
      <c r="K480" s="8"/>
      <c r="L480" s="7"/>
      <c r="M480" s="8"/>
      <c r="N480" s="7"/>
      <c r="O480" s="8"/>
      <c r="P480" s="7"/>
      <c r="Q480" s="7"/>
      <c r="R480" s="8"/>
      <c r="S480" s="7"/>
      <c r="T480" s="9"/>
      <c r="U480" s="7"/>
      <c r="V480" s="8"/>
      <c r="W480" s="7"/>
      <c r="X480" s="7"/>
      <c r="Y480" s="8"/>
      <c r="Z480" s="7"/>
      <c r="AA480" s="8"/>
    </row>
    <row r="481" spans="4:27" ht="14.25" thickTop="1" thickBot="1">
      <c r="D481" s="66"/>
      <c r="F481" s="7"/>
      <c r="G481" s="8"/>
      <c r="H481" s="7"/>
      <c r="I481" s="6"/>
      <c r="J481" s="7"/>
      <c r="K481" s="8"/>
      <c r="L481" s="7"/>
      <c r="M481" s="8"/>
      <c r="N481" s="7"/>
      <c r="O481" s="8"/>
      <c r="P481" s="7"/>
      <c r="Q481" s="7"/>
      <c r="R481" s="8"/>
      <c r="S481" s="7"/>
      <c r="T481" s="9"/>
      <c r="U481" s="7"/>
      <c r="V481" s="8"/>
      <c r="W481" s="7"/>
      <c r="X481" s="7"/>
      <c r="Y481" s="8"/>
      <c r="Z481" s="7"/>
      <c r="AA481" s="8"/>
    </row>
    <row r="482" spans="4:27" ht="14.25" thickTop="1" thickBot="1">
      <c r="D482" s="66"/>
      <c r="F482" s="7"/>
      <c r="G482" s="8"/>
      <c r="H482" s="7"/>
      <c r="I482" s="6"/>
      <c r="J482" s="7"/>
      <c r="K482" s="8"/>
      <c r="L482" s="7"/>
      <c r="M482" s="8"/>
      <c r="N482" s="7"/>
      <c r="O482" s="8"/>
      <c r="P482" s="7"/>
      <c r="Q482" s="7"/>
      <c r="R482" s="8"/>
      <c r="S482" s="7"/>
      <c r="T482" s="9"/>
      <c r="U482" s="7"/>
      <c r="V482" s="8"/>
      <c r="W482" s="7"/>
      <c r="X482" s="7"/>
      <c r="Y482" s="8"/>
      <c r="Z482" s="7"/>
      <c r="AA482" s="8"/>
    </row>
    <row r="483" spans="4:27" ht="14.25" thickTop="1" thickBot="1">
      <c r="D483" s="66"/>
      <c r="F483" s="7"/>
      <c r="G483" s="8"/>
      <c r="H483" s="7"/>
      <c r="I483" s="6"/>
      <c r="J483" s="7"/>
      <c r="K483" s="8"/>
      <c r="L483" s="7"/>
      <c r="M483" s="8"/>
      <c r="N483" s="7"/>
      <c r="O483" s="8"/>
      <c r="P483" s="7"/>
      <c r="Q483" s="7"/>
      <c r="R483" s="8"/>
      <c r="S483" s="7"/>
      <c r="T483" s="9"/>
      <c r="U483" s="7"/>
      <c r="V483" s="8"/>
      <c r="W483" s="7"/>
      <c r="X483" s="7"/>
      <c r="Y483" s="8"/>
      <c r="Z483" s="7"/>
      <c r="AA483" s="8"/>
    </row>
    <row r="484" spans="4:27" ht="13.5" thickBot="1">
      <c r="D484" s="66"/>
      <c r="U484" s="7"/>
      <c r="V484" s="8"/>
    </row>
    <row r="485" spans="4:27">
      <c r="D485" s="66"/>
    </row>
    <row r="486" spans="4:27">
      <c r="D486" s="66"/>
    </row>
    <row r="487" spans="4:27">
      <c r="D487" s="66"/>
    </row>
    <row r="488" spans="4:27">
      <c r="D488" s="66"/>
    </row>
    <row r="489" spans="4:27">
      <c r="D489" s="66"/>
    </row>
    <row r="490" spans="4:27">
      <c r="D490" s="66"/>
    </row>
    <row r="491" spans="4:27">
      <c r="D491" s="66"/>
    </row>
    <row r="492" spans="4:27">
      <c r="D492" s="66"/>
    </row>
    <row r="493" spans="4:27">
      <c r="D493" s="66"/>
    </row>
    <row r="494" spans="4:27">
      <c r="D494" s="66"/>
    </row>
    <row r="495" spans="4:27">
      <c r="D495" s="66"/>
    </row>
    <row r="496" spans="4:27">
      <c r="D496" s="66"/>
    </row>
    <row r="497" spans="4:4">
      <c r="D497" s="66"/>
    </row>
    <row r="498" spans="4:4">
      <c r="D498" s="66"/>
    </row>
    <row r="499" spans="4:4">
      <c r="D499" s="66"/>
    </row>
    <row r="500" spans="4:4">
      <c r="D500" s="66"/>
    </row>
    <row r="501" spans="4:4">
      <c r="D501" s="66"/>
    </row>
    <row r="502" spans="4:4">
      <c r="D502" s="66"/>
    </row>
    <row r="503" spans="4:4">
      <c r="D503" s="66"/>
    </row>
    <row r="504" spans="4:4">
      <c r="D504" s="66"/>
    </row>
    <row r="505" spans="4:4">
      <c r="D505" s="66"/>
    </row>
    <row r="506" spans="4:4">
      <c r="D506" s="66"/>
    </row>
    <row r="507" spans="4:4">
      <c r="D507" s="66"/>
    </row>
    <row r="508" spans="4:4">
      <c r="D508" s="66"/>
    </row>
    <row r="509" spans="4:4">
      <c r="D509" s="66"/>
    </row>
    <row r="510" spans="4:4">
      <c r="D510" s="66"/>
    </row>
    <row r="511" spans="4:4">
      <c r="D511" s="66"/>
    </row>
    <row r="512" spans="4:4">
      <c r="D512" s="66"/>
    </row>
    <row r="513" spans="4:4">
      <c r="D513" s="66"/>
    </row>
    <row r="514" spans="4:4">
      <c r="D514" s="66"/>
    </row>
    <row r="515" spans="4:4">
      <c r="D515" s="66"/>
    </row>
    <row r="516" spans="4:4">
      <c r="D516" s="66"/>
    </row>
    <row r="517" spans="4:4">
      <c r="D517" s="66"/>
    </row>
    <row r="518" spans="4:4">
      <c r="D518" s="66"/>
    </row>
    <row r="519" spans="4:4">
      <c r="D519" s="66"/>
    </row>
    <row r="520" spans="4:4">
      <c r="D520" s="66"/>
    </row>
    <row r="521" spans="4:4">
      <c r="D521" s="66"/>
    </row>
    <row r="522" spans="4:4">
      <c r="D522" s="66"/>
    </row>
    <row r="523" spans="4:4">
      <c r="D523" s="66"/>
    </row>
    <row r="524" spans="4:4">
      <c r="D524" s="66"/>
    </row>
    <row r="525" spans="4:4">
      <c r="D525" s="66"/>
    </row>
    <row r="526" spans="4:4">
      <c r="D526" s="66"/>
    </row>
    <row r="527" spans="4:4">
      <c r="D527" s="66"/>
    </row>
    <row r="528" spans="4:4">
      <c r="D528" s="66"/>
    </row>
    <row r="529" spans="4:4">
      <c r="D529" s="66"/>
    </row>
    <row r="530" spans="4:4">
      <c r="D530" s="66"/>
    </row>
    <row r="531" spans="4:4">
      <c r="D531" s="66"/>
    </row>
    <row r="532" spans="4:4">
      <c r="D532" s="66"/>
    </row>
    <row r="533" spans="4:4">
      <c r="D533" s="66"/>
    </row>
    <row r="534" spans="4:4">
      <c r="D534" s="66"/>
    </row>
    <row r="535" spans="4:4">
      <c r="D535" s="66"/>
    </row>
    <row r="536" spans="4:4">
      <c r="D536" s="66"/>
    </row>
    <row r="537" spans="4:4">
      <c r="D537" s="66"/>
    </row>
    <row r="538" spans="4:4">
      <c r="D538" s="66"/>
    </row>
    <row r="539" spans="4:4">
      <c r="D539" s="66"/>
    </row>
    <row r="540" spans="4:4">
      <c r="D540" s="66"/>
    </row>
    <row r="541" spans="4:4">
      <c r="D541" s="66"/>
    </row>
    <row r="542" spans="4:4">
      <c r="D542" s="66"/>
    </row>
    <row r="543" spans="4:4">
      <c r="D543" s="66"/>
    </row>
    <row r="544" spans="4:4">
      <c r="D544" s="66"/>
    </row>
    <row r="545" spans="4:4">
      <c r="D545" s="66"/>
    </row>
    <row r="546" spans="4:4">
      <c r="D546" s="66"/>
    </row>
    <row r="547" spans="4:4">
      <c r="D547" s="66"/>
    </row>
    <row r="548" spans="4:4">
      <c r="D548" s="66"/>
    </row>
    <row r="549" spans="4:4">
      <c r="D549" s="66"/>
    </row>
    <row r="550" spans="4:4">
      <c r="D550" s="66"/>
    </row>
    <row r="551" spans="4:4">
      <c r="D551" s="66"/>
    </row>
    <row r="552" spans="4:4">
      <c r="D552" s="66"/>
    </row>
    <row r="553" spans="4:4">
      <c r="D553" s="66"/>
    </row>
    <row r="554" spans="4:4">
      <c r="D554" s="66"/>
    </row>
    <row r="555" spans="4:4">
      <c r="D555" s="66"/>
    </row>
    <row r="556" spans="4:4">
      <c r="D556" s="66"/>
    </row>
    <row r="557" spans="4:4">
      <c r="D557" s="66"/>
    </row>
    <row r="558" spans="4:4">
      <c r="D558" s="66"/>
    </row>
    <row r="559" spans="4:4">
      <c r="D559" s="66"/>
    </row>
    <row r="560" spans="4:4">
      <c r="D560" s="66"/>
    </row>
    <row r="561" spans="4:4">
      <c r="D561" s="66"/>
    </row>
    <row r="562" spans="4:4">
      <c r="D562" s="66"/>
    </row>
    <row r="563" spans="4:4">
      <c r="D563" s="66"/>
    </row>
    <row r="564" spans="4:4">
      <c r="D564" s="66"/>
    </row>
    <row r="565" spans="4:4">
      <c r="D565" s="66"/>
    </row>
    <row r="566" spans="4:4">
      <c r="D566" s="66"/>
    </row>
    <row r="567" spans="4:4">
      <c r="D567" s="66"/>
    </row>
    <row r="568" spans="4:4">
      <c r="D568" s="66"/>
    </row>
    <row r="569" spans="4:4">
      <c r="D569" s="66"/>
    </row>
    <row r="570" spans="4:4">
      <c r="D570" s="66"/>
    </row>
    <row r="571" spans="4:4">
      <c r="D571" s="66"/>
    </row>
    <row r="572" spans="4:4">
      <c r="D572" s="66"/>
    </row>
    <row r="573" spans="4:4">
      <c r="D573" s="66"/>
    </row>
    <row r="574" spans="4:4">
      <c r="D574" s="66"/>
    </row>
    <row r="575" spans="4:4">
      <c r="D575" s="66"/>
    </row>
    <row r="576" spans="4:4">
      <c r="D576" s="66"/>
    </row>
    <row r="577" spans="4:4">
      <c r="D577" s="66"/>
    </row>
    <row r="578" spans="4:4">
      <c r="D578" s="66"/>
    </row>
    <row r="579" spans="4:4">
      <c r="D579" s="66"/>
    </row>
    <row r="580" spans="4:4">
      <c r="D580" s="66"/>
    </row>
    <row r="581" spans="4:4">
      <c r="D581" s="66"/>
    </row>
    <row r="582" spans="4:4">
      <c r="D582" s="66"/>
    </row>
    <row r="583" spans="4:4">
      <c r="D583" s="66"/>
    </row>
    <row r="584" spans="4:4">
      <c r="D584" s="66"/>
    </row>
    <row r="585" spans="4:4">
      <c r="D585" s="66"/>
    </row>
    <row r="586" spans="4:4">
      <c r="D586" s="66"/>
    </row>
    <row r="587" spans="4:4">
      <c r="D587" s="66"/>
    </row>
    <row r="588" spans="4:4">
      <c r="D588" s="66"/>
    </row>
    <row r="589" spans="4:4">
      <c r="D589" s="66"/>
    </row>
    <row r="590" spans="4:4">
      <c r="D590" s="66"/>
    </row>
    <row r="591" spans="4:4">
      <c r="D591" s="66"/>
    </row>
    <row r="592" spans="4:4">
      <c r="D592" s="66"/>
    </row>
    <row r="593" spans="4:4">
      <c r="D593" s="66"/>
    </row>
    <row r="594" spans="4:4">
      <c r="D594" s="66"/>
    </row>
    <row r="595" spans="4:4">
      <c r="D595" s="66"/>
    </row>
    <row r="596" spans="4:4">
      <c r="D596" s="66"/>
    </row>
    <row r="597" spans="4:4">
      <c r="D597" s="66"/>
    </row>
    <row r="598" spans="4:4">
      <c r="D598" s="66"/>
    </row>
    <row r="599" spans="4:4">
      <c r="D599" s="66"/>
    </row>
    <row r="600" spans="4:4">
      <c r="D600" s="66"/>
    </row>
    <row r="601" spans="4:4">
      <c r="D601" s="66"/>
    </row>
    <row r="602" spans="4:4">
      <c r="D602" s="66"/>
    </row>
    <row r="603" spans="4:4">
      <c r="D603" s="66"/>
    </row>
    <row r="604" spans="4:4">
      <c r="D604" s="66"/>
    </row>
    <row r="605" spans="4:4">
      <c r="D605" s="66"/>
    </row>
    <row r="606" spans="4:4">
      <c r="D606" s="66"/>
    </row>
    <row r="607" spans="4:4">
      <c r="D607" s="66"/>
    </row>
    <row r="608" spans="4:4">
      <c r="D608" s="66"/>
    </row>
    <row r="609" spans="4:4">
      <c r="D609" s="66"/>
    </row>
    <row r="610" spans="4:4">
      <c r="D610" s="66"/>
    </row>
    <row r="611" spans="4:4">
      <c r="D611" s="66"/>
    </row>
    <row r="612" spans="4:4">
      <c r="D612" s="66"/>
    </row>
    <row r="613" spans="4:4">
      <c r="D613" s="66"/>
    </row>
    <row r="614" spans="4:4">
      <c r="D614" s="66"/>
    </row>
    <row r="615" spans="4:4">
      <c r="D615" s="66"/>
    </row>
    <row r="616" spans="4:4">
      <c r="D616" s="66"/>
    </row>
    <row r="617" spans="4:4">
      <c r="D617" s="66"/>
    </row>
    <row r="618" spans="4:4">
      <c r="D618" s="66"/>
    </row>
    <row r="619" spans="4:4">
      <c r="D619" s="66"/>
    </row>
    <row r="620" spans="4:4">
      <c r="D620" s="66"/>
    </row>
    <row r="621" spans="4:4">
      <c r="D621" s="66"/>
    </row>
    <row r="622" spans="4:4">
      <c r="D622" s="66"/>
    </row>
    <row r="623" spans="4:4">
      <c r="D623" s="66"/>
    </row>
    <row r="624" spans="4:4">
      <c r="D624" s="66"/>
    </row>
    <row r="625" spans="4:4">
      <c r="D625" s="66"/>
    </row>
    <row r="626" spans="4:4">
      <c r="D626" s="66"/>
    </row>
    <row r="627" spans="4:4">
      <c r="D627" s="66"/>
    </row>
    <row r="628" spans="4:4">
      <c r="D628" s="66"/>
    </row>
    <row r="629" spans="4:4">
      <c r="D629" s="66"/>
    </row>
    <row r="630" spans="4:4">
      <c r="D630" s="66"/>
    </row>
    <row r="631" spans="4:4">
      <c r="D631" s="66"/>
    </row>
    <row r="632" spans="4:4">
      <c r="D632" s="66"/>
    </row>
    <row r="633" spans="4:4">
      <c r="D633" s="66"/>
    </row>
    <row r="634" spans="4:4">
      <c r="D634" s="66"/>
    </row>
    <row r="635" spans="4:4">
      <c r="D635" s="66"/>
    </row>
    <row r="636" spans="4:4">
      <c r="D636" s="66"/>
    </row>
    <row r="637" spans="4:4">
      <c r="D637" s="66"/>
    </row>
    <row r="638" spans="4:4">
      <c r="D638" s="66"/>
    </row>
    <row r="639" spans="4:4">
      <c r="D639" s="66"/>
    </row>
    <row r="640" spans="4:4">
      <c r="D640" s="66"/>
    </row>
    <row r="641" spans="4:4">
      <c r="D641" s="66"/>
    </row>
    <row r="642" spans="4:4">
      <c r="D642" s="66"/>
    </row>
    <row r="643" spans="4:4">
      <c r="D643" s="66"/>
    </row>
    <row r="644" spans="4:4">
      <c r="D644" s="66"/>
    </row>
    <row r="645" spans="4:4">
      <c r="D645" s="66"/>
    </row>
    <row r="646" spans="4:4">
      <c r="D646" s="66"/>
    </row>
    <row r="647" spans="4:4">
      <c r="D647" s="66"/>
    </row>
    <row r="648" spans="4:4">
      <c r="D648" s="66"/>
    </row>
    <row r="649" spans="4:4">
      <c r="D649" s="66"/>
    </row>
    <row r="650" spans="4:4">
      <c r="D650" s="66"/>
    </row>
    <row r="651" spans="4:4">
      <c r="D651" s="66"/>
    </row>
    <row r="652" spans="4:4">
      <c r="D652" s="66"/>
    </row>
    <row r="653" spans="4:4">
      <c r="D653" s="66"/>
    </row>
    <row r="654" spans="4:4">
      <c r="D654" s="66"/>
    </row>
    <row r="655" spans="4:4">
      <c r="D655" s="66"/>
    </row>
    <row r="656" spans="4:4">
      <c r="D656" s="66"/>
    </row>
    <row r="657" spans="4:4">
      <c r="D657" s="66"/>
    </row>
    <row r="658" spans="4:4">
      <c r="D658" s="66"/>
    </row>
    <row r="659" spans="4:4">
      <c r="D659" s="66"/>
    </row>
    <row r="660" spans="4:4">
      <c r="D660" s="66"/>
    </row>
    <row r="661" spans="4:4">
      <c r="D661" s="66"/>
    </row>
    <row r="662" spans="4:4">
      <c r="D662" s="66"/>
    </row>
    <row r="663" spans="4:4">
      <c r="D663" s="66"/>
    </row>
    <row r="664" spans="4:4">
      <c r="D664" s="66"/>
    </row>
    <row r="665" spans="4:4">
      <c r="D665" s="66"/>
    </row>
    <row r="666" spans="4:4">
      <c r="D666" s="66"/>
    </row>
    <row r="667" spans="4:4">
      <c r="D667" s="66"/>
    </row>
    <row r="668" spans="4:4">
      <c r="D668" s="66"/>
    </row>
    <row r="669" spans="4:4">
      <c r="D669" s="66"/>
    </row>
    <row r="670" spans="4:4">
      <c r="D670" s="66"/>
    </row>
    <row r="671" spans="4:4">
      <c r="D671" s="66"/>
    </row>
    <row r="672" spans="4:4">
      <c r="D672" s="66"/>
    </row>
    <row r="673" spans="4:4">
      <c r="D673" s="66"/>
    </row>
    <row r="674" spans="4:4">
      <c r="D674" s="66"/>
    </row>
    <row r="675" spans="4:4">
      <c r="D675" s="66"/>
    </row>
    <row r="676" spans="4:4">
      <c r="D676" s="66"/>
    </row>
    <row r="677" spans="4:4">
      <c r="D677" s="66"/>
    </row>
    <row r="678" spans="4:4">
      <c r="D678" s="66"/>
    </row>
    <row r="679" spans="4:4">
      <c r="D679" s="66"/>
    </row>
    <row r="680" spans="4:4">
      <c r="D680" s="66"/>
    </row>
    <row r="681" spans="4:4">
      <c r="D681" s="66"/>
    </row>
    <row r="682" spans="4:4">
      <c r="D682" s="66"/>
    </row>
    <row r="683" spans="4:4">
      <c r="D683" s="66"/>
    </row>
    <row r="684" spans="4:4">
      <c r="D684" s="66"/>
    </row>
    <row r="685" spans="4:4">
      <c r="D685" s="66"/>
    </row>
    <row r="686" spans="4:4">
      <c r="D686" s="66"/>
    </row>
    <row r="687" spans="4:4">
      <c r="D687" s="66"/>
    </row>
    <row r="688" spans="4:4">
      <c r="D688" s="66"/>
    </row>
    <row r="689" spans="4:4">
      <c r="D689" s="66"/>
    </row>
    <row r="690" spans="4:4">
      <c r="D690" s="66"/>
    </row>
    <row r="691" spans="4:4">
      <c r="D691" s="66"/>
    </row>
    <row r="692" spans="4:4">
      <c r="D692" s="66"/>
    </row>
    <row r="693" spans="4:4">
      <c r="D693" s="66"/>
    </row>
    <row r="694" spans="4:4">
      <c r="D694" s="66"/>
    </row>
    <row r="695" spans="4:4">
      <c r="D695" s="66"/>
    </row>
    <row r="696" spans="4:4">
      <c r="D696" s="66"/>
    </row>
    <row r="697" spans="4:4">
      <c r="D697" s="66"/>
    </row>
    <row r="698" spans="4:4">
      <c r="D698" s="66"/>
    </row>
    <row r="699" spans="4:4">
      <c r="D699" s="66"/>
    </row>
    <row r="700" spans="4:4">
      <c r="D700" s="66"/>
    </row>
    <row r="701" spans="4:4">
      <c r="D701" s="66"/>
    </row>
    <row r="702" spans="4:4">
      <c r="D702" s="66"/>
    </row>
    <row r="703" spans="4:4">
      <c r="D703" s="66"/>
    </row>
    <row r="704" spans="4:4">
      <c r="D704" s="66"/>
    </row>
    <row r="705" spans="4:4">
      <c r="D705" s="66"/>
    </row>
    <row r="706" spans="4:4">
      <c r="D706" s="66"/>
    </row>
    <row r="707" spans="4:4">
      <c r="D707" s="66"/>
    </row>
    <row r="708" spans="4:4">
      <c r="D708" s="66"/>
    </row>
    <row r="709" spans="4:4">
      <c r="D709" s="66"/>
    </row>
    <row r="710" spans="4:4">
      <c r="D710" s="66"/>
    </row>
    <row r="711" spans="4:4">
      <c r="D711" s="66"/>
    </row>
    <row r="712" spans="4:4">
      <c r="D712" s="66"/>
    </row>
    <row r="713" spans="4:4">
      <c r="D713" s="66"/>
    </row>
    <row r="714" spans="4:4">
      <c r="D714" s="66"/>
    </row>
    <row r="715" spans="4:4">
      <c r="D715" s="66"/>
    </row>
    <row r="716" spans="4:4">
      <c r="D716" s="66"/>
    </row>
    <row r="717" spans="4:4">
      <c r="D717" s="66"/>
    </row>
    <row r="718" spans="4:4">
      <c r="D718" s="66"/>
    </row>
    <row r="719" spans="4:4">
      <c r="D719" s="66"/>
    </row>
    <row r="720" spans="4:4">
      <c r="D720" s="66"/>
    </row>
    <row r="721" spans="4:4">
      <c r="D721" s="66"/>
    </row>
    <row r="722" spans="4:4">
      <c r="D722" s="66"/>
    </row>
    <row r="723" spans="4:4">
      <c r="D723" s="66"/>
    </row>
    <row r="724" spans="4:4">
      <c r="D724" s="66"/>
    </row>
    <row r="725" spans="4:4">
      <c r="D725" s="66"/>
    </row>
    <row r="726" spans="4:4">
      <c r="D726" s="66"/>
    </row>
    <row r="727" spans="4:4">
      <c r="D727" s="66"/>
    </row>
    <row r="728" spans="4:4">
      <c r="D728" s="66"/>
    </row>
    <row r="729" spans="4:4">
      <c r="D729" s="66"/>
    </row>
    <row r="730" spans="4:4">
      <c r="D730" s="66"/>
    </row>
    <row r="731" spans="4:4">
      <c r="D731" s="66"/>
    </row>
    <row r="732" spans="4:4">
      <c r="D732" s="66"/>
    </row>
    <row r="733" spans="4:4">
      <c r="D733" s="66"/>
    </row>
    <row r="734" spans="4:4">
      <c r="D734" s="66"/>
    </row>
    <row r="735" spans="4:4">
      <c r="D735" s="66"/>
    </row>
    <row r="736" spans="4:4">
      <c r="D736" s="66"/>
    </row>
    <row r="737" spans="4:4">
      <c r="D737" s="66"/>
    </row>
    <row r="738" spans="4:4">
      <c r="D738" s="66"/>
    </row>
    <row r="739" spans="4:4">
      <c r="D739" s="66"/>
    </row>
    <row r="740" spans="4:4">
      <c r="D740" s="66"/>
    </row>
    <row r="741" spans="4:4">
      <c r="D741" s="66"/>
    </row>
    <row r="742" spans="4:4">
      <c r="D742" s="66"/>
    </row>
    <row r="743" spans="4:4">
      <c r="D743" s="66"/>
    </row>
    <row r="744" spans="4:4">
      <c r="D744" s="66"/>
    </row>
    <row r="745" spans="4:4">
      <c r="D745" s="66"/>
    </row>
    <row r="746" spans="4:4">
      <c r="D746" s="66"/>
    </row>
    <row r="747" spans="4:4">
      <c r="D747" s="66"/>
    </row>
    <row r="748" spans="4:4">
      <c r="D748" s="66"/>
    </row>
    <row r="749" spans="4:4">
      <c r="D749" s="66"/>
    </row>
    <row r="750" spans="4:4">
      <c r="D750" s="66"/>
    </row>
    <row r="751" spans="4:4">
      <c r="D751" s="66"/>
    </row>
    <row r="752" spans="4:4">
      <c r="D752" s="66"/>
    </row>
    <row r="753" spans="4:4">
      <c r="D753" s="66"/>
    </row>
    <row r="754" spans="4:4">
      <c r="D754" s="66"/>
    </row>
    <row r="755" spans="4:4">
      <c r="D755" s="66"/>
    </row>
    <row r="756" spans="4:4">
      <c r="D756" s="66"/>
    </row>
    <row r="757" spans="4:4">
      <c r="D757" s="66"/>
    </row>
    <row r="758" spans="4:4">
      <c r="D758" s="66"/>
    </row>
    <row r="759" spans="4:4">
      <c r="D759" s="66"/>
    </row>
    <row r="760" spans="4:4">
      <c r="D760" s="66"/>
    </row>
    <row r="761" spans="4:4">
      <c r="D761" s="66"/>
    </row>
    <row r="762" spans="4:4">
      <c r="D762" s="66"/>
    </row>
    <row r="763" spans="4:4">
      <c r="D763" s="66"/>
    </row>
    <row r="764" spans="4:4">
      <c r="D764" s="66"/>
    </row>
    <row r="765" spans="4:4">
      <c r="D765" s="66"/>
    </row>
    <row r="766" spans="4:4">
      <c r="D766" s="66"/>
    </row>
    <row r="767" spans="4:4">
      <c r="D767" s="66"/>
    </row>
    <row r="768" spans="4:4">
      <c r="D768" s="66"/>
    </row>
    <row r="769" spans="4:4">
      <c r="D769" s="66"/>
    </row>
    <row r="770" spans="4:4">
      <c r="D770" s="66"/>
    </row>
    <row r="771" spans="4:4">
      <c r="D771" s="66"/>
    </row>
    <row r="772" spans="4:4">
      <c r="D772" s="66"/>
    </row>
    <row r="773" spans="4:4">
      <c r="D773" s="66"/>
    </row>
    <row r="774" spans="4:4">
      <c r="D774" s="66"/>
    </row>
    <row r="775" spans="4:4">
      <c r="D775" s="66"/>
    </row>
    <row r="776" spans="4:4">
      <c r="D776" s="66"/>
    </row>
    <row r="777" spans="4:4">
      <c r="D777" s="66"/>
    </row>
    <row r="778" spans="4:4">
      <c r="D778" s="66"/>
    </row>
    <row r="779" spans="4:4">
      <c r="D779" s="66"/>
    </row>
    <row r="780" spans="4:4">
      <c r="D780" s="66"/>
    </row>
    <row r="781" spans="4:4">
      <c r="D781" s="66"/>
    </row>
    <row r="782" spans="4:4">
      <c r="D782" s="66"/>
    </row>
    <row r="783" spans="4:4">
      <c r="D783" s="66"/>
    </row>
    <row r="784" spans="4:4">
      <c r="D784" s="66"/>
    </row>
    <row r="785" spans="4:4">
      <c r="D785" s="66"/>
    </row>
    <row r="786" spans="4:4">
      <c r="D786" s="66"/>
    </row>
    <row r="787" spans="4:4">
      <c r="D787" s="66"/>
    </row>
    <row r="788" spans="4:4">
      <c r="D788" s="66"/>
    </row>
    <row r="789" spans="4:4">
      <c r="D789" s="66"/>
    </row>
    <row r="790" spans="4:4">
      <c r="D790" s="66"/>
    </row>
    <row r="791" spans="4:4">
      <c r="D791" s="66"/>
    </row>
    <row r="792" spans="4:4">
      <c r="D792" s="66"/>
    </row>
    <row r="793" spans="4:4">
      <c r="D793" s="66"/>
    </row>
    <row r="794" spans="4:4">
      <c r="D794" s="66"/>
    </row>
    <row r="795" spans="4:4">
      <c r="D795" s="66"/>
    </row>
    <row r="796" spans="4:4">
      <c r="D796" s="66"/>
    </row>
    <row r="797" spans="4:4">
      <c r="D797" s="66"/>
    </row>
    <row r="798" spans="4:4">
      <c r="D798" s="66"/>
    </row>
    <row r="799" spans="4:4">
      <c r="D799" s="66"/>
    </row>
    <row r="800" spans="4:4">
      <c r="D800" s="66"/>
    </row>
    <row r="801" spans="4:4">
      <c r="D801" s="66"/>
    </row>
    <row r="802" spans="4:4">
      <c r="D802" s="66"/>
    </row>
    <row r="803" spans="4:4">
      <c r="D803" s="66"/>
    </row>
    <row r="804" spans="4:4">
      <c r="D804" s="66"/>
    </row>
    <row r="805" spans="4:4">
      <c r="D805" s="66"/>
    </row>
    <row r="806" spans="4:4">
      <c r="D806" s="66"/>
    </row>
    <row r="807" spans="4:4">
      <c r="D807" s="66"/>
    </row>
    <row r="808" spans="4:4">
      <c r="D808" s="66"/>
    </row>
    <row r="809" spans="4:4">
      <c r="D809" s="66"/>
    </row>
    <row r="810" spans="4:4">
      <c r="D810" s="66"/>
    </row>
    <row r="811" spans="4:4">
      <c r="D811" s="66"/>
    </row>
    <row r="812" spans="4:4">
      <c r="D812" s="66"/>
    </row>
    <row r="813" spans="4:4">
      <c r="D813" s="66"/>
    </row>
    <row r="814" spans="4:4">
      <c r="D814" s="66"/>
    </row>
    <row r="815" spans="4:4">
      <c r="D815" s="66"/>
    </row>
    <row r="816" spans="4:4">
      <c r="D816" s="66"/>
    </row>
    <row r="817" spans="4:4">
      <c r="D817" s="66"/>
    </row>
    <row r="818" spans="4:4">
      <c r="D818" s="66"/>
    </row>
    <row r="819" spans="4:4">
      <c r="D819" s="66"/>
    </row>
    <row r="820" spans="4:4">
      <c r="D820" s="66"/>
    </row>
    <row r="821" spans="4:4">
      <c r="D821" s="66"/>
    </row>
    <row r="822" spans="4:4">
      <c r="D822" s="66"/>
    </row>
    <row r="823" spans="4:4">
      <c r="D823" s="66"/>
    </row>
    <row r="824" spans="4:4">
      <c r="D824" s="66"/>
    </row>
    <row r="825" spans="4:4">
      <c r="D825" s="66"/>
    </row>
    <row r="826" spans="4:4">
      <c r="D826" s="66"/>
    </row>
    <row r="827" spans="4:4">
      <c r="D827" s="66"/>
    </row>
    <row r="828" spans="4:4">
      <c r="D828" s="66"/>
    </row>
    <row r="829" spans="4:4">
      <c r="D829" s="66"/>
    </row>
    <row r="830" spans="4:4">
      <c r="D830" s="66"/>
    </row>
    <row r="831" spans="4:4">
      <c r="D831" s="66"/>
    </row>
    <row r="832" spans="4:4">
      <c r="D832" s="66"/>
    </row>
    <row r="833" spans="4:4">
      <c r="D833" s="66"/>
    </row>
    <row r="834" spans="4:4">
      <c r="D834" s="66"/>
    </row>
    <row r="835" spans="4:4">
      <c r="D835" s="66"/>
    </row>
    <row r="836" spans="4:4">
      <c r="D836" s="66"/>
    </row>
    <row r="837" spans="4:4">
      <c r="D837" s="66"/>
    </row>
    <row r="838" spans="4:4">
      <c r="D838" s="66"/>
    </row>
    <row r="839" spans="4:4">
      <c r="D839" s="66"/>
    </row>
    <row r="840" spans="4:4">
      <c r="D840" s="66"/>
    </row>
    <row r="841" spans="4:4">
      <c r="D841" s="66"/>
    </row>
    <row r="842" spans="4:4">
      <c r="D842" s="66"/>
    </row>
    <row r="843" spans="4:4">
      <c r="D843" s="66"/>
    </row>
    <row r="844" spans="4:4">
      <c r="D844" s="66"/>
    </row>
    <row r="845" spans="4:4">
      <c r="D845" s="66"/>
    </row>
    <row r="846" spans="4:4">
      <c r="D846" s="66"/>
    </row>
    <row r="847" spans="4:4">
      <c r="D847" s="66"/>
    </row>
    <row r="848" spans="4:4">
      <c r="D848" s="66"/>
    </row>
    <row r="849" spans="4:4">
      <c r="D849" s="66"/>
    </row>
    <row r="850" spans="4:4">
      <c r="D850" s="66"/>
    </row>
    <row r="851" spans="4:4">
      <c r="D851" s="66"/>
    </row>
    <row r="852" spans="4:4">
      <c r="D852" s="66"/>
    </row>
    <row r="853" spans="4:4">
      <c r="D853" s="66"/>
    </row>
    <row r="854" spans="4:4">
      <c r="D854" s="66"/>
    </row>
    <row r="855" spans="4:4">
      <c r="D855" s="66"/>
    </row>
    <row r="856" spans="4:4">
      <c r="D856" s="66"/>
    </row>
    <row r="857" spans="4:4">
      <c r="D857" s="66"/>
    </row>
    <row r="858" spans="4:4">
      <c r="D858" s="66"/>
    </row>
    <row r="859" spans="4:4">
      <c r="D859" s="66"/>
    </row>
    <row r="860" spans="4:4">
      <c r="D860" s="66"/>
    </row>
    <row r="861" spans="4:4">
      <c r="D861" s="66"/>
    </row>
    <row r="862" spans="4:4">
      <c r="D862" s="66"/>
    </row>
    <row r="863" spans="4:4">
      <c r="D863" s="66"/>
    </row>
    <row r="864" spans="4:4">
      <c r="D864" s="66"/>
    </row>
    <row r="865" spans="4:4">
      <c r="D865" s="66"/>
    </row>
    <row r="866" spans="4:4">
      <c r="D866" s="66"/>
    </row>
    <row r="867" spans="4:4">
      <c r="D867" s="66"/>
    </row>
    <row r="868" spans="4:4">
      <c r="D868" s="66"/>
    </row>
    <row r="869" spans="4:4">
      <c r="D869" s="66"/>
    </row>
    <row r="870" spans="4:4">
      <c r="D870" s="66"/>
    </row>
    <row r="871" spans="4:4">
      <c r="D871" s="66"/>
    </row>
    <row r="872" spans="4:4">
      <c r="D872" s="66"/>
    </row>
    <row r="873" spans="4:4">
      <c r="D873" s="66"/>
    </row>
    <row r="874" spans="4:4">
      <c r="D874" s="66"/>
    </row>
    <row r="875" spans="4:4">
      <c r="D875" s="66"/>
    </row>
    <row r="876" spans="4:4">
      <c r="D876" s="66"/>
    </row>
    <row r="877" spans="4:4">
      <c r="D877" s="66"/>
    </row>
    <row r="878" spans="4:4">
      <c r="D878" s="66"/>
    </row>
    <row r="879" spans="4:4">
      <c r="D879" s="66"/>
    </row>
    <row r="880" spans="4:4">
      <c r="D880" s="66"/>
    </row>
    <row r="881" spans="4:4">
      <c r="D881" s="66"/>
    </row>
    <row r="882" spans="4:4">
      <c r="D882" s="66"/>
    </row>
    <row r="883" spans="4:4">
      <c r="D883" s="66"/>
    </row>
    <row r="884" spans="4:4">
      <c r="D884" s="66"/>
    </row>
    <row r="885" spans="4:4">
      <c r="D885" s="66"/>
    </row>
    <row r="886" spans="4:4">
      <c r="D886" s="66"/>
    </row>
    <row r="887" spans="4:4">
      <c r="D887" s="66"/>
    </row>
    <row r="888" spans="4:4">
      <c r="D888" s="66"/>
    </row>
    <row r="889" spans="4:4">
      <c r="D889" s="66"/>
    </row>
    <row r="890" spans="4:4">
      <c r="D890" s="66"/>
    </row>
    <row r="891" spans="4:4">
      <c r="D891" s="66"/>
    </row>
    <row r="892" spans="4:4">
      <c r="D892" s="66"/>
    </row>
    <row r="893" spans="4:4">
      <c r="D893" s="66"/>
    </row>
    <row r="894" spans="4:4">
      <c r="D894" s="66"/>
    </row>
    <row r="895" spans="4:4">
      <c r="D895" s="66"/>
    </row>
    <row r="896" spans="4:4">
      <c r="D896" s="66"/>
    </row>
    <row r="897" spans="4:4">
      <c r="D897" s="66"/>
    </row>
    <row r="898" spans="4:4">
      <c r="D898" s="66"/>
    </row>
    <row r="899" spans="4:4">
      <c r="D899" s="66"/>
    </row>
    <row r="900" spans="4:4">
      <c r="D900" s="66"/>
    </row>
    <row r="901" spans="4:4">
      <c r="D901" s="66"/>
    </row>
    <row r="902" spans="4:4">
      <c r="D902" s="66"/>
    </row>
    <row r="903" spans="4:4">
      <c r="D903" s="66"/>
    </row>
    <row r="904" spans="4:4">
      <c r="D904" s="66"/>
    </row>
    <row r="905" spans="4:4">
      <c r="D905" s="66"/>
    </row>
    <row r="906" spans="4:4">
      <c r="D906" s="66"/>
    </row>
    <row r="907" spans="4:4">
      <c r="D907" s="66"/>
    </row>
    <row r="908" spans="4:4">
      <c r="D908" s="66"/>
    </row>
    <row r="909" spans="4:4">
      <c r="D909" s="66"/>
    </row>
    <row r="910" spans="4:4">
      <c r="D910" s="66"/>
    </row>
    <row r="911" spans="4:4">
      <c r="D911" s="66"/>
    </row>
    <row r="912" spans="4:4">
      <c r="D912" s="66"/>
    </row>
    <row r="913" spans="4:4">
      <c r="D913" s="66"/>
    </row>
    <row r="914" spans="4:4">
      <c r="D914" s="66"/>
    </row>
    <row r="915" spans="4:4">
      <c r="D915" s="66"/>
    </row>
    <row r="916" spans="4:4">
      <c r="D916" s="66"/>
    </row>
    <row r="917" spans="4:4">
      <c r="D917" s="66"/>
    </row>
    <row r="918" spans="4:4">
      <c r="D918" s="66"/>
    </row>
    <row r="919" spans="4:4">
      <c r="D919" s="66"/>
    </row>
    <row r="920" spans="4:4">
      <c r="D920" s="66"/>
    </row>
    <row r="921" spans="4:4">
      <c r="D921" s="66"/>
    </row>
    <row r="922" spans="4:4">
      <c r="D922" s="66"/>
    </row>
    <row r="923" spans="4:4">
      <c r="D923" s="66"/>
    </row>
    <row r="924" spans="4:4">
      <c r="D924" s="66"/>
    </row>
    <row r="925" spans="4:4">
      <c r="D925" s="66"/>
    </row>
    <row r="926" spans="4:4">
      <c r="D926" s="66"/>
    </row>
    <row r="927" spans="4:4">
      <c r="D927" s="66"/>
    </row>
    <row r="928" spans="4:4">
      <c r="D928" s="66"/>
    </row>
    <row r="929" spans="4:4">
      <c r="D929" s="66"/>
    </row>
    <row r="930" spans="4:4">
      <c r="D930" s="66"/>
    </row>
    <row r="931" spans="4:4">
      <c r="D931" s="66"/>
    </row>
    <row r="932" spans="4:4">
      <c r="D932" s="66"/>
    </row>
    <row r="933" spans="4:4">
      <c r="D933" s="66"/>
    </row>
    <row r="934" spans="4:4">
      <c r="D934" s="66"/>
    </row>
    <row r="935" spans="4:4">
      <c r="D935" s="66"/>
    </row>
    <row r="936" spans="4:4">
      <c r="D936" s="66"/>
    </row>
    <row r="937" spans="4:4">
      <c r="D937" s="66"/>
    </row>
    <row r="938" spans="4:4">
      <c r="D938" s="66"/>
    </row>
    <row r="939" spans="4:4">
      <c r="D939" s="66"/>
    </row>
    <row r="940" spans="4:4">
      <c r="D940" s="66"/>
    </row>
    <row r="941" spans="4:4">
      <c r="D941" s="66"/>
    </row>
    <row r="942" spans="4:4">
      <c r="D942" s="66"/>
    </row>
    <row r="943" spans="4:4">
      <c r="D943" s="66"/>
    </row>
    <row r="944" spans="4:4">
      <c r="D944" s="66"/>
    </row>
    <row r="945" spans="4:4">
      <c r="D945" s="66"/>
    </row>
    <row r="946" spans="4:4">
      <c r="D946" s="66"/>
    </row>
    <row r="947" spans="4:4">
      <c r="D947" s="66"/>
    </row>
    <row r="948" spans="4:4">
      <c r="D948" s="66"/>
    </row>
    <row r="949" spans="4:4">
      <c r="D949" s="66"/>
    </row>
    <row r="950" spans="4:4">
      <c r="D950" s="66"/>
    </row>
    <row r="951" spans="4:4">
      <c r="D951" s="66"/>
    </row>
    <row r="952" spans="4:4">
      <c r="D952" s="66"/>
    </row>
    <row r="953" spans="4:4">
      <c r="D953" s="66"/>
    </row>
    <row r="954" spans="4:4">
      <c r="D954" s="66"/>
    </row>
    <row r="955" spans="4:4">
      <c r="D955" s="66"/>
    </row>
    <row r="956" spans="4:4">
      <c r="D956" s="66"/>
    </row>
    <row r="957" spans="4:4">
      <c r="D957" s="66"/>
    </row>
    <row r="958" spans="4:4">
      <c r="D958" s="66"/>
    </row>
    <row r="959" spans="4:4">
      <c r="D959" s="66"/>
    </row>
    <row r="960" spans="4:4">
      <c r="D960" s="66"/>
    </row>
    <row r="961" spans="4:4">
      <c r="D961" s="66"/>
    </row>
    <row r="962" spans="4:4">
      <c r="D962" s="66"/>
    </row>
    <row r="963" spans="4:4">
      <c r="D963" s="66"/>
    </row>
    <row r="964" spans="4:4">
      <c r="D964" s="66"/>
    </row>
    <row r="965" spans="4:4">
      <c r="D965" s="66"/>
    </row>
    <row r="966" spans="4:4">
      <c r="D966" s="66"/>
    </row>
    <row r="967" spans="4:4">
      <c r="D967" s="66"/>
    </row>
    <row r="968" spans="4:4">
      <c r="D968" s="66"/>
    </row>
    <row r="969" spans="4:4">
      <c r="D969" s="66"/>
    </row>
    <row r="970" spans="4:4">
      <c r="D970" s="66"/>
    </row>
    <row r="971" spans="4:4">
      <c r="D971" s="66"/>
    </row>
    <row r="972" spans="4:4">
      <c r="D972" s="66"/>
    </row>
    <row r="973" spans="4:4">
      <c r="D973" s="66"/>
    </row>
    <row r="974" spans="4:4">
      <c r="D974" s="66"/>
    </row>
    <row r="975" spans="4:4">
      <c r="D975" s="66"/>
    </row>
    <row r="976" spans="4:4">
      <c r="D976" s="66"/>
    </row>
    <row r="977" spans="4:4">
      <c r="D977" s="66"/>
    </row>
    <row r="978" spans="4:4">
      <c r="D978" s="66"/>
    </row>
    <row r="979" spans="4:4">
      <c r="D979" s="66"/>
    </row>
    <row r="980" spans="4:4">
      <c r="D980" s="66"/>
    </row>
    <row r="981" spans="4:4">
      <c r="D981" s="66"/>
    </row>
    <row r="982" spans="4:4">
      <c r="D982" s="66"/>
    </row>
    <row r="983" spans="4:4">
      <c r="D983" s="66"/>
    </row>
    <row r="984" spans="4:4">
      <c r="D984" s="66"/>
    </row>
    <row r="985" spans="4:4">
      <c r="D985" s="66"/>
    </row>
    <row r="986" spans="4:4">
      <c r="D986" s="66"/>
    </row>
    <row r="987" spans="4:4">
      <c r="D987" s="66"/>
    </row>
    <row r="988" spans="4:4">
      <c r="D988" s="66"/>
    </row>
    <row r="989" spans="4:4">
      <c r="D989" s="66"/>
    </row>
    <row r="990" spans="4:4">
      <c r="D990" s="66"/>
    </row>
    <row r="991" spans="4:4">
      <c r="D991" s="66"/>
    </row>
    <row r="992" spans="4:4">
      <c r="D992" s="66"/>
    </row>
    <row r="993" spans="4:4">
      <c r="D993" s="66"/>
    </row>
    <row r="994" spans="4:4">
      <c r="D994" s="66"/>
    </row>
    <row r="995" spans="4:4">
      <c r="D995" s="66"/>
    </row>
    <row r="996" spans="4:4">
      <c r="D996" s="66"/>
    </row>
    <row r="997" spans="4:4">
      <c r="D997" s="66"/>
    </row>
    <row r="998" spans="4:4">
      <c r="D998" s="66"/>
    </row>
    <row r="999" spans="4:4">
      <c r="D999" s="66"/>
    </row>
    <row r="1000" spans="4:4">
      <c r="D1000" s="66"/>
    </row>
    <row r="1001" spans="4:4">
      <c r="D1001" s="66"/>
    </row>
    <row r="1002" spans="4:4">
      <c r="D1002" s="66"/>
    </row>
    <row r="1003" spans="4:4">
      <c r="D1003" s="66"/>
    </row>
    <row r="1004" spans="4:4">
      <c r="D1004" s="66"/>
    </row>
    <row r="1005" spans="4:4">
      <c r="D1005" s="66"/>
    </row>
    <row r="1006" spans="4:4">
      <c r="D1006" s="66"/>
    </row>
    <row r="1007" spans="4:4">
      <c r="D1007" s="66"/>
    </row>
    <row r="1008" spans="4:4">
      <c r="D1008" s="66"/>
    </row>
    <row r="1009" spans="4:4">
      <c r="D1009" s="66"/>
    </row>
    <row r="1010" spans="4:4">
      <c r="D1010" s="66"/>
    </row>
    <row r="1011" spans="4:4">
      <c r="D1011" s="66"/>
    </row>
    <row r="1012" spans="4:4">
      <c r="D1012" s="66"/>
    </row>
    <row r="1013" spans="4:4">
      <c r="D1013" s="66"/>
    </row>
    <row r="1014" spans="4:4">
      <c r="D1014" s="66"/>
    </row>
    <row r="1015" spans="4:4">
      <c r="D1015" s="66"/>
    </row>
    <row r="1016" spans="4:4">
      <c r="D1016" s="66"/>
    </row>
    <row r="1017" spans="4:4">
      <c r="D1017" s="66"/>
    </row>
    <row r="1018" spans="4:4">
      <c r="D1018" s="66"/>
    </row>
    <row r="1019" spans="4:4">
      <c r="D1019" s="66"/>
    </row>
    <row r="1020" spans="4:4">
      <c r="D1020" s="66"/>
    </row>
    <row r="1021" spans="4:4">
      <c r="D1021" s="66"/>
    </row>
    <row r="1022" spans="4:4">
      <c r="D1022" s="66"/>
    </row>
    <row r="1023" spans="4:4">
      <c r="D1023" s="66"/>
    </row>
    <row r="1024" spans="4:4">
      <c r="D1024" s="66"/>
    </row>
    <row r="1025" spans="4:4">
      <c r="D1025" s="66"/>
    </row>
    <row r="1026" spans="4:4">
      <c r="D1026" s="66"/>
    </row>
    <row r="1027" spans="4:4">
      <c r="D1027" s="66"/>
    </row>
    <row r="1028" spans="4:4">
      <c r="D1028" s="66"/>
    </row>
    <row r="1029" spans="4:4">
      <c r="D1029" s="66"/>
    </row>
    <row r="1030" spans="4:4">
      <c r="D1030" s="66"/>
    </row>
    <row r="1031" spans="4:4">
      <c r="D1031" s="66"/>
    </row>
    <row r="1032" spans="4:4">
      <c r="D1032" s="66"/>
    </row>
    <row r="1033" spans="4:4">
      <c r="D1033" s="66"/>
    </row>
    <row r="1034" spans="4:4">
      <c r="D1034" s="66"/>
    </row>
    <row r="1035" spans="4:4">
      <c r="D1035" s="66"/>
    </row>
    <row r="1036" spans="4:4">
      <c r="D1036" s="66"/>
    </row>
    <row r="1037" spans="4:4">
      <c r="D1037" s="66"/>
    </row>
    <row r="1038" spans="4:4">
      <c r="D1038" s="66"/>
    </row>
    <row r="1039" spans="4:4">
      <c r="D1039" s="66"/>
    </row>
    <row r="1040" spans="4:4">
      <c r="D1040" s="66"/>
    </row>
    <row r="1041" spans="4:4">
      <c r="D1041" s="66"/>
    </row>
    <row r="1042" spans="4:4">
      <c r="D1042" s="66"/>
    </row>
    <row r="1043" spans="4:4">
      <c r="D1043" s="66"/>
    </row>
    <row r="1044" spans="4:4">
      <c r="D1044" s="66"/>
    </row>
    <row r="1045" spans="4:4">
      <c r="D1045" s="66"/>
    </row>
    <row r="1046" spans="4:4">
      <c r="D1046" s="66"/>
    </row>
    <row r="1047" spans="4:4">
      <c r="D1047" s="66"/>
    </row>
    <row r="1048" spans="4:4">
      <c r="D1048" s="66"/>
    </row>
    <row r="1049" spans="4:4">
      <c r="D1049" s="66"/>
    </row>
    <row r="1050" spans="4:4">
      <c r="D1050" s="66"/>
    </row>
    <row r="1051" spans="4:4">
      <c r="D1051" s="66"/>
    </row>
    <row r="1052" spans="4:4">
      <c r="D1052" s="66"/>
    </row>
    <row r="1053" spans="4:4">
      <c r="D1053" s="66"/>
    </row>
    <row r="1054" spans="4:4">
      <c r="D1054" s="66"/>
    </row>
    <row r="1055" spans="4:4">
      <c r="D1055" s="66"/>
    </row>
    <row r="1056" spans="4:4">
      <c r="D1056" s="66"/>
    </row>
    <row r="1057" spans="4:4">
      <c r="D1057" s="66"/>
    </row>
    <row r="1058" spans="4:4">
      <c r="D1058" s="66"/>
    </row>
    <row r="1059" spans="4:4">
      <c r="D1059" s="66"/>
    </row>
    <row r="1060" spans="4:4">
      <c r="D1060" s="66"/>
    </row>
    <row r="1061" spans="4:4">
      <c r="D1061" s="66"/>
    </row>
    <row r="1062" spans="4:4">
      <c r="D1062" s="66"/>
    </row>
    <row r="1063" spans="4:4">
      <c r="D1063" s="66"/>
    </row>
    <row r="1064" spans="4:4">
      <c r="D1064" s="66"/>
    </row>
    <row r="1065" spans="4:4">
      <c r="D1065" s="66"/>
    </row>
    <row r="1066" spans="4:4">
      <c r="D1066" s="66"/>
    </row>
    <row r="1067" spans="4:4">
      <c r="D1067" s="66"/>
    </row>
    <row r="1068" spans="4:4">
      <c r="D1068" s="66"/>
    </row>
    <row r="1069" spans="4:4">
      <c r="D1069" s="66"/>
    </row>
    <row r="1070" spans="4:4">
      <c r="D1070" s="66"/>
    </row>
    <row r="1071" spans="4:4">
      <c r="D1071" s="66"/>
    </row>
    <row r="1072" spans="4:4">
      <c r="D1072" s="66"/>
    </row>
    <row r="1073" spans="4:4">
      <c r="D1073" s="66"/>
    </row>
    <row r="1074" spans="4:4">
      <c r="D1074" s="66"/>
    </row>
    <row r="1075" spans="4:4">
      <c r="D1075" s="66"/>
    </row>
    <row r="1076" spans="4:4">
      <c r="D1076" s="66"/>
    </row>
    <row r="1077" spans="4:4">
      <c r="D1077" s="66"/>
    </row>
    <row r="1078" spans="4:4">
      <c r="D1078" s="66"/>
    </row>
    <row r="1079" spans="4:4">
      <c r="D1079" s="66"/>
    </row>
    <row r="1080" spans="4:4">
      <c r="D1080" s="66"/>
    </row>
    <row r="1081" spans="4:4">
      <c r="D1081" s="66"/>
    </row>
    <row r="1082" spans="4:4">
      <c r="D1082" s="66"/>
    </row>
    <row r="1083" spans="4:4">
      <c r="D1083" s="66"/>
    </row>
    <row r="1084" spans="4:4">
      <c r="D1084" s="66"/>
    </row>
    <row r="1085" spans="4:4">
      <c r="D1085" s="66"/>
    </row>
    <row r="1086" spans="4:4">
      <c r="D1086" s="66"/>
    </row>
    <row r="1087" spans="4:4">
      <c r="D1087" s="66"/>
    </row>
    <row r="1088" spans="4:4">
      <c r="D1088" s="66"/>
    </row>
    <row r="1089" spans="4:4">
      <c r="D1089" s="66"/>
    </row>
    <row r="1090" spans="4:4">
      <c r="D1090" s="66"/>
    </row>
    <row r="1091" spans="4:4">
      <c r="D1091" s="66"/>
    </row>
    <row r="1092" spans="4:4">
      <c r="D1092" s="66"/>
    </row>
    <row r="1093" spans="4:4">
      <c r="D1093" s="66"/>
    </row>
    <row r="1094" spans="4:4">
      <c r="D1094" s="66"/>
    </row>
    <row r="1095" spans="4:4">
      <c r="D1095" s="66"/>
    </row>
    <row r="1096" spans="4:4">
      <c r="D1096" s="66"/>
    </row>
    <row r="1097" spans="4:4">
      <c r="D1097" s="66"/>
    </row>
    <row r="1098" spans="4:4">
      <c r="D1098" s="66"/>
    </row>
    <row r="1099" spans="4:4">
      <c r="D1099" s="66"/>
    </row>
    <row r="1100" spans="4:4">
      <c r="D1100" s="66"/>
    </row>
    <row r="1101" spans="4:4">
      <c r="D1101" s="66"/>
    </row>
    <row r="1102" spans="4:4">
      <c r="D1102" s="66"/>
    </row>
    <row r="1103" spans="4:4">
      <c r="D1103" s="66"/>
    </row>
    <row r="1104" spans="4:4">
      <c r="D1104" s="66"/>
    </row>
    <row r="1105" spans="4:4">
      <c r="D1105" s="66"/>
    </row>
    <row r="1106" spans="4:4">
      <c r="D1106" s="66"/>
    </row>
    <row r="1107" spans="4:4">
      <c r="D1107" s="66"/>
    </row>
    <row r="1108" spans="4:4">
      <c r="D1108" s="66"/>
    </row>
    <row r="1109" spans="4:4">
      <c r="D1109" s="66"/>
    </row>
    <row r="1110" spans="4:4">
      <c r="D1110" s="66"/>
    </row>
    <row r="1111" spans="4:4">
      <c r="D1111" s="66"/>
    </row>
    <row r="1112" spans="4:4">
      <c r="D1112" s="66"/>
    </row>
    <row r="1113" spans="4:4">
      <c r="D1113" s="66"/>
    </row>
    <row r="1114" spans="4:4">
      <c r="D1114" s="66"/>
    </row>
    <row r="1115" spans="4:4">
      <c r="D1115" s="66"/>
    </row>
    <row r="1116" spans="4:4">
      <c r="D1116" s="66"/>
    </row>
    <row r="1117" spans="4:4">
      <c r="D1117" s="66"/>
    </row>
    <row r="1118" spans="4:4">
      <c r="D1118" s="66"/>
    </row>
    <row r="1119" spans="4:4">
      <c r="D1119" s="66"/>
    </row>
    <row r="1120" spans="4:4">
      <c r="D1120" s="66"/>
    </row>
    <row r="1121" spans="4:4">
      <c r="D1121" s="66"/>
    </row>
    <row r="1122" spans="4:4">
      <c r="D1122" s="66"/>
    </row>
    <row r="1123" spans="4:4">
      <c r="D1123" s="66"/>
    </row>
    <row r="1124" spans="4:4">
      <c r="D1124" s="66"/>
    </row>
    <row r="1125" spans="4:4">
      <c r="D1125" s="66"/>
    </row>
    <row r="1126" spans="4:4">
      <c r="D1126" s="66"/>
    </row>
    <row r="1127" spans="4:4">
      <c r="D1127" s="66"/>
    </row>
    <row r="1128" spans="4:4">
      <c r="D1128" s="66"/>
    </row>
    <row r="1129" spans="4:4">
      <c r="D1129" s="66"/>
    </row>
    <row r="1130" spans="4:4">
      <c r="D1130" s="66"/>
    </row>
    <row r="1131" spans="4:4">
      <c r="D1131" s="66"/>
    </row>
    <row r="1132" spans="4:4">
      <c r="D1132" s="66"/>
    </row>
    <row r="1133" spans="4:4">
      <c r="D1133" s="66"/>
    </row>
    <row r="1134" spans="4:4">
      <c r="D1134" s="66"/>
    </row>
    <row r="1135" spans="4:4">
      <c r="D1135" s="66"/>
    </row>
    <row r="1136" spans="4:4">
      <c r="D1136" s="66"/>
    </row>
    <row r="1137" spans="4:4">
      <c r="D1137" s="66"/>
    </row>
    <row r="1138" spans="4:4">
      <c r="D1138" s="66"/>
    </row>
    <row r="1139" spans="4:4">
      <c r="D1139" s="66"/>
    </row>
    <row r="1140" spans="4:4">
      <c r="D1140" s="66"/>
    </row>
    <row r="1141" spans="4:4">
      <c r="D1141" s="66"/>
    </row>
    <row r="1142" spans="4:4">
      <c r="D1142" s="66"/>
    </row>
    <row r="1143" spans="4:4">
      <c r="D1143" s="66"/>
    </row>
    <row r="1144" spans="4:4">
      <c r="D1144" s="66"/>
    </row>
    <row r="1145" spans="4:4">
      <c r="D1145" s="66"/>
    </row>
    <row r="1146" spans="4:4">
      <c r="D1146" s="66"/>
    </row>
    <row r="1147" spans="4:4">
      <c r="D1147" s="66"/>
    </row>
    <row r="1148" spans="4:4">
      <c r="D1148" s="66"/>
    </row>
    <row r="1149" spans="4:4">
      <c r="D1149" s="66"/>
    </row>
    <row r="1150" spans="4:4">
      <c r="D1150" s="66"/>
    </row>
    <row r="1151" spans="4:4">
      <c r="D1151" s="66"/>
    </row>
    <row r="1152" spans="4:4">
      <c r="D1152" s="66"/>
    </row>
    <row r="1153" spans="4:4">
      <c r="D1153" s="66"/>
    </row>
    <row r="1154" spans="4:4">
      <c r="D1154" s="66"/>
    </row>
    <row r="1155" spans="4:4">
      <c r="D1155" s="66"/>
    </row>
    <row r="1156" spans="4:4">
      <c r="D1156" s="66"/>
    </row>
    <row r="1157" spans="4:4">
      <c r="D1157" s="66"/>
    </row>
    <row r="1158" spans="4:4">
      <c r="D1158" s="66"/>
    </row>
    <row r="1159" spans="4:4">
      <c r="D1159" s="66"/>
    </row>
    <row r="1160" spans="4:4">
      <c r="D1160" s="66"/>
    </row>
    <row r="1161" spans="4:4">
      <c r="D1161" s="66"/>
    </row>
    <row r="1162" spans="4:4">
      <c r="D1162" s="66"/>
    </row>
    <row r="1163" spans="4:4">
      <c r="D1163" s="66"/>
    </row>
    <row r="1164" spans="4:4">
      <c r="D1164" s="66"/>
    </row>
    <row r="1165" spans="4:4">
      <c r="D1165" s="66"/>
    </row>
    <row r="1166" spans="4:4">
      <c r="D1166" s="66"/>
    </row>
    <row r="1167" spans="4:4">
      <c r="D1167" s="66"/>
    </row>
    <row r="1168" spans="4:4">
      <c r="D1168" s="66"/>
    </row>
    <row r="1169" spans="4:4">
      <c r="D1169" s="66"/>
    </row>
    <row r="1170" spans="4:4">
      <c r="D1170" s="66"/>
    </row>
    <row r="1171" spans="4:4">
      <c r="D1171" s="66"/>
    </row>
    <row r="1172" spans="4:4">
      <c r="D1172" s="66"/>
    </row>
    <row r="1173" spans="4:4">
      <c r="D1173" s="66"/>
    </row>
    <row r="1174" spans="4:4">
      <c r="D1174" s="66"/>
    </row>
    <row r="1175" spans="4:4">
      <c r="D1175" s="66"/>
    </row>
    <row r="1176" spans="4:4">
      <c r="D1176" s="66"/>
    </row>
    <row r="1177" spans="4:4">
      <c r="D1177" s="66"/>
    </row>
    <row r="1178" spans="4:4">
      <c r="D1178" s="66"/>
    </row>
    <row r="1179" spans="4:4">
      <c r="D1179" s="66"/>
    </row>
    <row r="1180" spans="4:4">
      <c r="D1180" s="66"/>
    </row>
    <row r="1181" spans="4:4">
      <c r="D1181" s="66"/>
    </row>
    <row r="1182" spans="4:4">
      <c r="D1182" s="66"/>
    </row>
    <row r="1183" spans="4:4">
      <c r="D1183" s="66"/>
    </row>
    <row r="1184" spans="4:4">
      <c r="D1184" s="66"/>
    </row>
    <row r="1185" spans="4:4">
      <c r="D1185" s="66"/>
    </row>
    <row r="1186" spans="4:4">
      <c r="D1186" s="66"/>
    </row>
    <row r="1187" spans="4:4">
      <c r="D1187" s="66"/>
    </row>
    <row r="1188" spans="4:4">
      <c r="D1188" s="66"/>
    </row>
    <row r="1189" spans="4:4">
      <c r="D1189" s="66"/>
    </row>
    <row r="1190" spans="4:4">
      <c r="D1190" s="66"/>
    </row>
    <row r="1191" spans="4:4">
      <c r="D1191" s="66"/>
    </row>
    <row r="1192" spans="4:4">
      <c r="D1192" s="66"/>
    </row>
    <row r="1193" spans="4:4">
      <c r="D1193" s="66"/>
    </row>
    <row r="1194" spans="4:4">
      <c r="D1194" s="66"/>
    </row>
    <row r="1195" spans="4:4">
      <c r="D1195" s="66"/>
    </row>
    <row r="1196" spans="4:4">
      <c r="D1196" s="66"/>
    </row>
    <row r="1197" spans="4:4">
      <c r="D1197" s="66"/>
    </row>
    <row r="1198" spans="4:4">
      <c r="D1198" s="66"/>
    </row>
    <row r="1199" spans="4:4">
      <c r="D1199" s="66"/>
    </row>
    <row r="1200" spans="4:4">
      <c r="D1200" s="66"/>
    </row>
    <row r="1201" spans="4:4">
      <c r="D1201" s="66"/>
    </row>
    <row r="1202" spans="4:4">
      <c r="D1202" s="66"/>
    </row>
    <row r="1203" spans="4:4">
      <c r="D1203" s="66"/>
    </row>
    <row r="1204" spans="4:4">
      <c r="D1204" s="66"/>
    </row>
    <row r="1205" spans="4:4">
      <c r="D1205" s="66"/>
    </row>
    <row r="1206" spans="4:4">
      <c r="D1206" s="66"/>
    </row>
    <row r="1207" spans="4:4">
      <c r="D1207" s="66"/>
    </row>
    <row r="1208" spans="4:4">
      <c r="D1208" s="66"/>
    </row>
    <row r="1209" spans="4:4">
      <c r="D1209" s="66"/>
    </row>
    <row r="1210" spans="4:4">
      <c r="D1210" s="66"/>
    </row>
    <row r="1211" spans="4:4">
      <c r="D1211" s="66"/>
    </row>
    <row r="1212" spans="4:4">
      <c r="D1212" s="66"/>
    </row>
    <row r="1213" spans="4:4">
      <c r="D1213" s="66"/>
    </row>
    <row r="1214" spans="4:4">
      <c r="D1214" s="66"/>
    </row>
    <row r="1215" spans="4:4">
      <c r="D1215" s="66"/>
    </row>
    <row r="1216" spans="4:4">
      <c r="D1216" s="66"/>
    </row>
    <row r="1217" spans="4:4">
      <c r="D1217" s="66"/>
    </row>
    <row r="1218" spans="4:4">
      <c r="D1218" s="66"/>
    </row>
    <row r="1219" spans="4:4">
      <c r="D1219" s="66"/>
    </row>
    <row r="1220" spans="4:4">
      <c r="D1220" s="66"/>
    </row>
    <row r="1221" spans="4:4">
      <c r="D1221" s="66"/>
    </row>
    <row r="1222" spans="4:4">
      <c r="D1222" s="66"/>
    </row>
    <row r="1223" spans="4:4">
      <c r="D1223" s="66"/>
    </row>
    <row r="1224" spans="4:4">
      <c r="D1224" s="66"/>
    </row>
    <row r="1225" spans="4:4">
      <c r="D1225" s="66"/>
    </row>
    <row r="1226" spans="4:4">
      <c r="D1226" s="66"/>
    </row>
    <row r="1227" spans="4:4">
      <c r="D1227" s="66"/>
    </row>
    <row r="1228" spans="4:4">
      <c r="D1228" s="66"/>
    </row>
    <row r="1229" spans="4:4">
      <c r="D1229" s="66"/>
    </row>
    <row r="1230" spans="4:4">
      <c r="D1230" s="66"/>
    </row>
    <row r="1231" spans="4:4">
      <c r="D1231" s="66"/>
    </row>
    <row r="1232" spans="4:4">
      <c r="D1232" s="66"/>
    </row>
    <row r="1233" spans="4:4">
      <c r="D1233" s="66"/>
    </row>
    <row r="1234" spans="4:4">
      <c r="D1234" s="66"/>
    </row>
    <row r="1235" spans="4:4">
      <c r="D1235" s="66"/>
    </row>
    <row r="1236" spans="4:4">
      <c r="D1236" s="66"/>
    </row>
    <row r="1237" spans="4:4">
      <c r="D1237" s="66"/>
    </row>
    <row r="1238" spans="4:4">
      <c r="D1238" s="66"/>
    </row>
    <row r="1239" spans="4:4">
      <c r="D1239" s="66"/>
    </row>
    <row r="1240" spans="4:4">
      <c r="D1240" s="66"/>
    </row>
    <row r="1241" spans="4:4">
      <c r="D1241" s="66"/>
    </row>
    <row r="1242" spans="4:4">
      <c r="D1242" s="66"/>
    </row>
    <row r="1243" spans="4:4">
      <c r="D1243" s="66"/>
    </row>
    <row r="1244" spans="4:4">
      <c r="D1244" s="66"/>
    </row>
    <row r="1245" spans="4:4">
      <c r="D1245" s="66"/>
    </row>
    <row r="1246" spans="4:4">
      <c r="D1246" s="66"/>
    </row>
    <row r="1247" spans="4:4">
      <c r="D1247" s="66"/>
    </row>
    <row r="1248" spans="4:4">
      <c r="D1248" s="66"/>
    </row>
    <row r="1249" spans="4:4">
      <c r="D1249" s="66"/>
    </row>
    <row r="1250" spans="4:4">
      <c r="D1250" s="66"/>
    </row>
    <row r="1251" spans="4:4">
      <c r="D1251" s="66"/>
    </row>
    <row r="1252" spans="4:4">
      <c r="D1252" s="66"/>
    </row>
    <row r="1253" spans="4:4">
      <c r="D1253" s="66"/>
    </row>
    <row r="1254" spans="4:4">
      <c r="D1254" s="66"/>
    </row>
    <row r="1255" spans="4:4">
      <c r="D1255" s="66"/>
    </row>
    <row r="1256" spans="4:4">
      <c r="D1256" s="66"/>
    </row>
    <row r="1257" spans="4:4">
      <c r="D1257" s="66"/>
    </row>
    <row r="1258" spans="4:4">
      <c r="D1258" s="66"/>
    </row>
    <row r="1259" spans="4:4">
      <c r="D1259" s="66"/>
    </row>
    <row r="1260" spans="4:4">
      <c r="D1260" s="66"/>
    </row>
    <row r="1261" spans="4:4">
      <c r="D1261" s="66"/>
    </row>
    <row r="1262" spans="4:4">
      <c r="D1262" s="66"/>
    </row>
    <row r="1263" spans="4:4">
      <c r="D1263" s="66"/>
    </row>
    <row r="1264" spans="4:4">
      <c r="D1264" s="66"/>
    </row>
    <row r="1265" spans="4:4">
      <c r="D1265" s="66"/>
    </row>
    <row r="1266" spans="4:4">
      <c r="D1266" s="66"/>
    </row>
    <row r="1267" spans="4:4">
      <c r="D1267" s="66"/>
    </row>
    <row r="1268" spans="4:4">
      <c r="D1268" s="66"/>
    </row>
    <row r="1269" spans="4:4">
      <c r="D1269" s="66"/>
    </row>
    <row r="1270" spans="4:4">
      <c r="D1270" s="66"/>
    </row>
    <row r="1271" spans="4:4">
      <c r="D1271" s="66"/>
    </row>
    <row r="1272" spans="4:4">
      <c r="D1272" s="66"/>
    </row>
    <row r="1273" spans="4:4">
      <c r="D1273" s="66"/>
    </row>
    <row r="1274" spans="4:4">
      <c r="D1274" s="66"/>
    </row>
    <row r="1275" spans="4:4">
      <c r="D1275" s="66"/>
    </row>
    <row r="1276" spans="4:4">
      <c r="D1276" s="66"/>
    </row>
    <row r="1277" spans="4:4">
      <c r="D1277" s="66"/>
    </row>
    <row r="1278" spans="4:4">
      <c r="D1278" s="66"/>
    </row>
    <row r="1279" spans="4:4">
      <c r="D1279" s="66"/>
    </row>
    <row r="1280" spans="4:4">
      <c r="D1280" s="66"/>
    </row>
    <row r="1281" spans="4:4">
      <c r="D1281" s="66"/>
    </row>
    <row r="1282" spans="4:4">
      <c r="D1282" s="66"/>
    </row>
    <row r="1283" spans="4:4">
      <c r="D1283" s="66"/>
    </row>
    <row r="1284" spans="4:4">
      <c r="D1284" s="66"/>
    </row>
    <row r="1285" spans="4:4">
      <c r="D1285" s="66"/>
    </row>
    <row r="1286" spans="4:4">
      <c r="D1286" s="66"/>
    </row>
    <row r="1287" spans="4:4">
      <c r="D1287" s="66"/>
    </row>
    <row r="1288" spans="4:4">
      <c r="D1288" s="66"/>
    </row>
    <row r="1289" spans="4:4">
      <c r="D1289" s="66"/>
    </row>
    <row r="1290" spans="4:4">
      <c r="D1290" s="66"/>
    </row>
    <row r="1291" spans="4:4">
      <c r="D1291" s="66"/>
    </row>
    <row r="1292" spans="4:4">
      <c r="D1292" s="66"/>
    </row>
    <row r="1293" spans="4:4">
      <c r="D1293" s="66"/>
    </row>
    <row r="1294" spans="4:4">
      <c r="D1294" s="66"/>
    </row>
    <row r="1295" spans="4:4">
      <c r="D1295" s="66"/>
    </row>
    <row r="1296" spans="4:4">
      <c r="D1296" s="66"/>
    </row>
    <row r="1297" spans="4:4">
      <c r="D1297" s="66"/>
    </row>
    <row r="1298" spans="4:4">
      <c r="D1298" s="66"/>
    </row>
    <row r="1299" spans="4:4">
      <c r="D1299" s="66"/>
    </row>
    <row r="1300" spans="4:4">
      <c r="D1300" s="66"/>
    </row>
    <row r="1301" spans="4:4">
      <c r="D1301" s="66"/>
    </row>
    <row r="1302" spans="4:4">
      <c r="D1302" s="66"/>
    </row>
    <row r="1303" spans="4:4">
      <c r="D1303" s="66"/>
    </row>
    <row r="1304" spans="4:4">
      <c r="D1304" s="66"/>
    </row>
    <row r="1305" spans="4:4">
      <c r="D1305" s="66"/>
    </row>
    <row r="1306" spans="4:4">
      <c r="D1306" s="66"/>
    </row>
    <row r="1307" spans="4:4">
      <c r="D1307" s="66"/>
    </row>
    <row r="1308" spans="4:4">
      <c r="D1308" s="66"/>
    </row>
    <row r="1309" spans="4:4">
      <c r="D1309" s="66"/>
    </row>
    <row r="1310" spans="4:4">
      <c r="D1310" s="66"/>
    </row>
    <row r="1311" spans="4:4">
      <c r="D1311" s="66"/>
    </row>
    <row r="1312" spans="4:4">
      <c r="D1312" s="66"/>
    </row>
    <row r="1313" spans="4:4">
      <c r="D1313" s="66"/>
    </row>
    <row r="1314" spans="4:4">
      <c r="D1314" s="66"/>
    </row>
    <row r="1315" spans="4:4">
      <c r="D1315" s="66"/>
    </row>
    <row r="1316" spans="4:4">
      <c r="D1316" s="66"/>
    </row>
    <row r="1317" spans="4:4">
      <c r="D1317" s="66"/>
    </row>
    <row r="1318" spans="4:4">
      <c r="D1318" s="66"/>
    </row>
    <row r="1319" spans="4:4">
      <c r="D1319" s="66"/>
    </row>
    <row r="1320" spans="4:4">
      <c r="D1320" s="66"/>
    </row>
    <row r="1321" spans="4:4">
      <c r="D1321" s="66"/>
    </row>
    <row r="1322" spans="4:4">
      <c r="D1322" s="66"/>
    </row>
    <row r="1323" spans="4:4">
      <c r="D1323" s="66"/>
    </row>
    <row r="1324" spans="4:4">
      <c r="D1324" s="66"/>
    </row>
    <row r="1325" spans="4:4">
      <c r="D1325" s="66"/>
    </row>
    <row r="1326" spans="4:4">
      <c r="D1326" s="66"/>
    </row>
    <row r="1327" spans="4:4">
      <c r="D1327" s="66"/>
    </row>
    <row r="1328" spans="4:4">
      <c r="D1328" s="66"/>
    </row>
    <row r="1329" spans="4:4">
      <c r="D1329" s="66"/>
    </row>
    <row r="1330" spans="4:4">
      <c r="D1330" s="66"/>
    </row>
    <row r="1331" spans="4:4">
      <c r="D1331" s="66"/>
    </row>
    <row r="1332" spans="4:4">
      <c r="D1332" s="66"/>
    </row>
    <row r="1333" spans="4:4">
      <c r="D1333" s="66"/>
    </row>
    <row r="1334" spans="4:4">
      <c r="D1334" s="66"/>
    </row>
    <row r="1335" spans="4:4">
      <c r="D1335" s="66"/>
    </row>
    <row r="1336" spans="4:4">
      <c r="D1336" s="66"/>
    </row>
    <row r="1337" spans="4:4">
      <c r="D1337" s="66"/>
    </row>
    <row r="1338" spans="4:4">
      <c r="D1338" s="66"/>
    </row>
    <row r="1339" spans="4:4">
      <c r="D1339" s="66"/>
    </row>
    <row r="1340" spans="4:4">
      <c r="D1340" s="66"/>
    </row>
    <row r="1341" spans="4:4">
      <c r="D1341" s="66"/>
    </row>
    <row r="1342" spans="4:4">
      <c r="D1342" s="66"/>
    </row>
    <row r="1343" spans="4:4">
      <c r="D1343" s="66"/>
    </row>
    <row r="1344" spans="4:4">
      <c r="D1344" s="66"/>
    </row>
    <row r="1345" spans="4:4">
      <c r="D1345" s="66"/>
    </row>
    <row r="1346" spans="4:4">
      <c r="D1346" s="66"/>
    </row>
    <row r="1347" spans="4:4">
      <c r="D1347" s="66"/>
    </row>
    <row r="1348" spans="4:4">
      <c r="D1348" s="66"/>
    </row>
    <row r="1349" spans="4:4">
      <c r="D1349" s="66"/>
    </row>
    <row r="1350" spans="4:4">
      <c r="D1350" s="66"/>
    </row>
    <row r="1351" spans="4:4">
      <c r="D1351" s="66"/>
    </row>
    <row r="1352" spans="4:4">
      <c r="D1352" s="66"/>
    </row>
    <row r="1353" spans="4:4">
      <c r="D1353" s="66"/>
    </row>
    <row r="1354" spans="4:4">
      <c r="D1354" s="66"/>
    </row>
    <row r="1355" spans="4:4">
      <c r="D1355" s="66"/>
    </row>
    <row r="1356" spans="4:4">
      <c r="D1356" s="66"/>
    </row>
    <row r="1357" spans="4:4">
      <c r="D1357" s="66"/>
    </row>
    <row r="1358" spans="4:4">
      <c r="D1358" s="66"/>
    </row>
    <row r="1359" spans="4:4">
      <c r="D1359" s="66"/>
    </row>
    <row r="1360" spans="4:4">
      <c r="D1360" s="66"/>
    </row>
    <row r="1361" spans="4:4">
      <c r="D1361" s="66"/>
    </row>
    <row r="1362" spans="4:4">
      <c r="D1362" s="66"/>
    </row>
    <row r="1363" spans="4:4">
      <c r="D1363" s="66"/>
    </row>
    <row r="1364" spans="4:4">
      <c r="D1364" s="66"/>
    </row>
    <row r="1365" spans="4:4">
      <c r="D1365" s="66"/>
    </row>
    <row r="1366" spans="4:4">
      <c r="D1366" s="66"/>
    </row>
    <row r="1367" spans="4:4">
      <c r="D1367" s="66"/>
    </row>
    <row r="1368" spans="4:4">
      <c r="D1368" s="66"/>
    </row>
    <row r="1369" spans="4:4">
      <c r="D1369" s="66"/>
    </row>
    <row r="1370" spans="4:4">
      <c r="D1370" s="66"/>
    </row>
    <row r="1371" spans="4:4">
      <c r="D1371" s="66"/>
    </row>
    <row r="1372" spans="4:4">
      <c r="D1372" s="66"/>
    </row>
    <row r="1373" spans="4:4">
      <c r="D1373" s="66"/>
    </row>
    <row r="1374" spans="4:4">
      <c r="D1374" s="66"/>
    </row>
    <row r="1375" spans="4:4">
      <c r="D1375" s="66"/>
    </row>
    <row r="1376" spans="4:4">
      <c r="D1376" s="66"/>
    </row>
    <row r="1377" spans="4:4">
      <c r="D1377" s="66"/>
    </row>
    <row r="1378" spans="4:4">
      <c r="D1378" s="66"/>
    </row>
    <row r="1379" spans="4:4">
      <c r="D1379" s="66"/>
    </row>
    <row r="1380" spans="4:4">
      <c r="D1380" s="66"/>
    </row>
    <row r="1381" spans="4:4">
      <c r="D1381" s="66"/>
    </row>
    <row r="1382" spans="4:4">
      <c r="D1382" s="66"/>
    </row>
    <row r="1383" spans="4:4">
      <c r="D1383" s="66"/>
    </row>
    <row r="1384" spans="4:4">
      <c r="D1384" s="66"/>
    </row>
    <row r="1385" spans="4:4">
      <c r="D1385" s="66"/>
    </row>
    <row r="1386" spans="4:4">
      <c r="D1386" s="66"/>
    </row>
    <row r="1387" spans="4:4">
      <c r="D1387" s="66"/>
    </row>
    <row r="1388" spans="4:4">
      <c r="D1388" s="66"/>
    </row>
    <row r="1389" spans="4:4">
      <c r="D1389" s="66"/>
    </row>
    <row r="1390" spans="4:4">
      <c r="D1390" s="66"/>
    </row>
    <row r="1391" spans="4:4">
      <c r="D1391" s="66"/>
    </row>
    <row r="1392" spans="4:4">
      <c r="D1392" s="66"/>
    </row>
    <row r="1393" spans="4:4">
      <c r="D1393" s="66"/>
    </row>
    <row r="1394" spans="4:4">
      <c r="D1394" s="66"/>
    </row>
    <row r="1395" spans="4:4">
      <c r="D1395" s="66"/>
    </row>
    <row r="1396" spans="4:4">
      <c r="D1396" s="66"/>
    </row>
    <row r="1397" spans="4:4">
      <c r="D1397" s="66"/>
    </row>
    <row r="1398" spans="4:4">
      <c r="D1398" s="66"/>
    </row>
    <row r="1399" spans="4:4">
      <c r="D1399" s="66"/>
    </row>
    <row r="1400" spans="4:4">
      <c r="D1400" s="66"/>
    </row>
    <row r="1401" spans="4:4">
      <c r="D1401" s="66"/>
    </row>
    <row r="1402" spans="4:4">
      <c r="D1402" s="66"/>
    </row>
    <row r="1403" spans="4:4">
      <c r="D1403" s="66"/>
    </row>
    <row r="1404" spans="4:4">
      <c r="D1404" s="66"/>
    </row>
    <row r="1405" spans="4:4">
      <c r="D1405" s="66"/>
    </row>
    <row r="1406" spans="4:4">
      <c r="D1406" s="66"/>
    </row>
    <row r="1407" spans="4:4">
      <c r="D1407" s="66"/>
    </row>
    <row r="1408" spans="4:4">
      <c r="D1408" s="66"/>
    </row>
    <row r="1409" spans="4:4">
      <c r="D1409" s="66"/>
    </row>
    <row r="1410" spans="4:4">
      <c r="D1410" s="66"/>
    </row>
    <row r="1411" spans="4:4">
      <c r="D1411" s="66"/>
    </row>
    <row r="1412" spans="4:4">
      <c r="D1412" s="66"/>
    </row>
    <row r="1413" spans="4:4">
      <c r="D1413" s="66"/>
    </row>
    <row r="1414" spans="4:4">
      <c r="D1414" s="66"/>
    </row>
    <row r="1415" spans="4:4">
      <c r="D1415" s="66"/>
    </row>
    <row r="1416" spans="4:4">
      <c r="D1416" s="66"/>
    </row>
    <row r="1417" spans="4:4">
      <c r="D1417" s="66"/>
    </row>
    <row r="1418" spans="4:4">
      <c r="D1418" s="66"/>
    </row>
    <row r="1419" spans="4:4">
      <c r="D1419" s="66"/>
    </row>
    <row r="1420" spans="4:4">
      <c r="D1420" s="66"/>
    </row>
    <row r="1421" spans="4:4">
      <c r="D1421" s="66"/>
    </row>
    <row r="1422" spans="4:4">
      <c r="D1422" s="66"/>
    </row>
    <row r="1423" spans="4:4">
      <c r="D1423" s="66"/>
    </row>
    <row r="1424" spans="4:4">
      <c r="D1424" s="66"/>
    </row>
    <row r="1425" spans="4:4">
      <c r="D1425" s="66"/>
    </row>
    <row r="1426" spans="4:4">
      <c r="D1426" s="66"/>
    </row>
    <row r="1427" spans="4:4">
      <c r="D1427" s="66"/>
    </row>
    <row r="1428" spans="4:4">
      <c r="D1428" s="66"/>
    </row>
    <row r="1429" spans="4:4">
      <c r="D1429" s="66"/>
    </row>
    <row r="1430" spans="4:4">
      <c r="D1430" s="66"/>
    </row>
    <row r="1431" spans="4:4">
      <c r="D1431" s="66"/>
    </row>
    <row r="1432" spans="4:4">
      <c r="D1432" s="66"/>
    </row>
    <row r="1433" spans="4:4">
      <c r="D1433" s="66"/>
    </row>
    <row r="1434" spans="4:4">
      <c r="D1434" s="66"/>
    </row>
    <row r="1435" spans="4:4">
      <c r="D1435" s="66"/>
    </row>
    <row r="1436" spans="4:4">
      <c r="D1436" s="66"/>
    </row>
    <row r="1437" spans="4:4">
      <c r="D1437" s="66"/>
    </row>
    <row r="1438" spans="4:4">
      <c r="D1438" s="66"/>
    </row>
    <row r="1439" spans="4:4">
      <c r="D1439" s="66"/>
    </row>
    <row r="1440" spans="4:4">
      <c r="D1440" s="66"/>
    </row>
    <row r="1441" spans="4:4">
      <c r="D1441" s="66"/>
    </row>
    <row r="1442" spans="4:4">
      <c r="D1442" s="66"/>
    </row>
    <row r="1443" spans="4:4">
      <c r="D1443" s="66"/>
    </row>
    <row r="1444" spans="4:4">
      <c r="D1444" s="66"/>
    </row>
    <row r="1445" spans="4:4">
      <c r="D1445" s="66"/>
    </row>
    <row r="1446" spans="4:4">
      <c r="D1446" s="66"/>
    </row>
    <row r="1447" spans="4:4">
      <c r="D1447" s="66"/>
    </row>
    <row r="1448" spans="4:4">
      <c r="D1448" s="66"/>
    </row>
    <row r="1449" spans="4:4">
      <c r="D1449" s="66"/>
    </row>
    <row r="1450" spans="4:4">
      <c r="D1450" s="66"/>
    </row>
    <row r="1451" spans="4:4">
      <c r="D1451" s="66"/>
    </row>
    <row r="1452" spans="4:4">
      <c r="D1452" s="66"/>
    </row>
    <row r="1453" spans="4:4">
      <c r="D1453" s="66"/>
    </row>
    <row r="1454" spans="4:4">
      <c r="D1454" s="66"/>
    </row>
    <row r="1455" spans="4:4">
      <c r="D1455" s="66"/>
    </row>
    <row r="1456" spans="4:4">
      <c r="D1456" s="66"/>
    </row>
    <row r="1457" spans="4:4">
      <c r="D1457" s="66"/>
    </row>
    <row r="1458" spans="4:4">
      <c r="D1458" s="66"/>
    </row>
    <row r="1459" spans="4:4">
      <c r="D1459" s="66"/>
    </row>
    <row r="1460" spans="4:4">
      <c r="D1460" s="66"/>
    </row>
    <row r="1461" spans="4:4">
      <c r="D1461" s="66"/>
    </row>
    <row r="1462" spans="4:4">
      <c r="D1462" s="66"/>
    </row>
    <row r="1463" spans="4:4">
      <c r="D1463" s="66"/>
    </row>
    <row r="1464" spans="4:4">
      <c r="D1464" s="66"/>
    </row>
    <row r="1465" spans="4:4">
      <c r="D1465" s="66"/>
    </row>
    <row r="1466" spans="4:4">
      <c r="D1466" s="66"/>
    </row>
    <row r="1467" spans="4:4">
      <c r="D1467" s="66"/>
    </row>
    <row r="1468" spans="4:4">
      <c r="D1468" s="66"/>
    </row>
    <row r="1469" spans="4:4">
      <c r="D1469" s="66"/>
    </row>
    <row r="1470" spans="4:4">
      <c r="D1470" s="66"/>
    </row>
    <row r="1471" spans="4:4">
      <c r="D1471" s="66"/>
    </row>
    <row r="1472" spans="4:4">
      <c r="D1472" s="66"/>
    </row>
    <row r="1473" spans="4:4">
      <c r="D1473" s="66"/>
    </row>
    <row r="1474" spans="4:4">
      <c r="D1474" s="66"/>
    </row>
    <row r="1475" spans="4:4">
      <c r="D1475" s="66"/>
    </row>
    <row r="1476" spans="4:4">
      <c r="D1476" s="66"/>
    </row>
    <row r="1477" spans="4:4">
      <c r="D1477" s="66"/>
    </row>
    <row r="1478" spans="4:4">
      <c r="D1478" s="66"/>
    </row>
    <row r="1479" spans="4:4">
      <c r="D1479" s="66"/>
    </row>
    <row r="1480" spans="4:4">
      <c r="D1480" s="66"/>
    </row>
    <row r="1481" spans="4:4">
      <c r="D1481" s="66"/>
    </row>
    <row r="1482" spans="4:4">
      <c r="D1482" s="66"/>
    </row>
    <row r="1483" spans="4:4">
      <c r="D1483" s="66"/>
    </row>
    <row r="1484" spans="4:4">
      <c r="D1484" s="66"/>
    </row>
    <row r="1485" spans="4:4">
      <c r="D1485" s="66"/>
    </row>
    <row r="1486" spans="4:4">
      <c r="D1486" s="66"/>
    </row>
    <row r="1487" spans="4:4">
      <c r="D1487" s="66"/>
    </row>
    <row r="1488" spans="4:4">
      <c r="D1488" s="66"/>
    </row>
    <row r="1489" spans="4:4">
      <c r="D1489" s="66"/>
    </row>
    <row r="1490" spans="4:4">
      <c r="D1490" s="66"/>
    </row>
    <row r="1491" spans="4:4">
      <c r="D1491" s="66"/>
    </row>
    <row r="1492" spans="4:4">
      <c r="D1492" s="66"/>
    </row>
    <row r="1493" spans="4:4">
      <c r="D1493" s="66"/>
    </row>
    <row r="1494" spans="4:4">
      <c r="D1494" s="66"/>
    </row>
    <row r="1495" spans="4:4">
      <c r="D1495" s="66"/>
    </row>
    <row r="1496" spans="4:4">
      <c r="D1496" s="66"/>
    </row>
    <row r="1497" spans="4:4">
      <c r="D1497" s="66"/>
    </row>
    <row r="1498" spans="4:4">
      <c r="D1498" s="66"/>
    </row>
    <row r="1499" spans="4:4">
      <c r="D1499" s="66"/>
    </row>
    <row r="1500" spans="4:4">
      <c r="D1500" s="66"/>
    </row>
    <row r="1501" spans="4:4">
      <c r="D1501" s="66"/>
    </row>
    <row r="1502" spans="4:4">
      <c r="D1502" s="66"/>
    </row>
    <row r="1503" spans="4:4">
      <c r="D1503" s="66"/>
    </row>
    <row r="1504" spans="4:4">
      <c r="D1504" s="66"/>
    </row>
    <row r="1505" spans="4:4">
      <c r="D1505" s="66"/>
    </row>
    <row r="1506" spans="4:4">
      <c r="D1506" s="66"/>
    </row>
    <row r="1507" spans="4:4">
      <c r="D1507" s="66"/>
    </row>
    <row r="1508" spans="4:4">
      <c r="D1508" s="66"/>
    </row>
    <row r="1509" spans="4:4">
      <c r="D1509" s="66"/>
    </row>
    <row r="1510" spans="4:4">
      <c r="D1510" s="66"/>
    </row>
    <row r="1511" spans="4:4">
      <c r="D1511" s="66"/>
    </row>
    <row r="1512" spans="4:4">
      <c r="D1512" s="66"/>
    </row>
    <row r="1513" spans="4:4">
      <c r="D1513" s="66"/>
    </row>
    <row r="1514" spans="4:4">
      <c r="D1514" s="66"/>
    </row>
    <row r="1515" spans="4:4">
      <c r="D1515" s="66"/>
    </row>
    <row r="1516" spans="4:4">
      <c r="D1516" s="66"/>
    </row>
    <row r="1517" spans="4:4">
      <c r="D1517" s="66"/>
    </row>
    <row r="1518" spans="4:4">
      <c r="D1518" s="66"/>
    </row>
    <row r="1519" spans="4:4">
      <c r="D1519" s="66"/>
    </row>
    <row r="1520" spans="4:4">
      <c r="D1520" s="66"/>
    </row>
    <row r="1521" spans="4:4">
      <c r="D1521" s="66"/>
    </row>
    <row r="1522" spans="4:4">
      <c r="D1522" s="66"/>
    </row>
    <row r="1523" spans="4:4">
      <c r="D1523" s="66"/>
    </row>
    <row r="1524" spans="4:4">
      <c r="D1524" s="66"/>
    </row>
    <row r="1525" spans="4:4">
      <c r="D1525" s="66"/>
    </row>
    <row r="1526" spans="4:4">
      <c r="D1526" s="66"/>
    </row>
    <row r="1527" spans="4:4">
      <c r="D1527" s="66"/>
    </row>
    <row r="1528" spans="4:4">
      <c r="D1528" s="66"/>
    </row>
    <row r="1529" spans="4:4">
      <c r="D1529" s="66"/>
    </row>
    <row r="1530" spans="4:4">
      <c r="D1530" s="66"/>
    </row>
    <row r="1531" spans="4:4">
      <c r="D1531" s="66"/>
    </row>
    <row r="1532" spans="4:4">
      <c r="D1532" s="66"/>
    </row>
    <row r="1533" spans="4:4">
      <c r="D1533" s="66"/>
    </row>
    <row r="1534" spans="4:4">
      <c r="D1534" s="66"/>
    </row>
    <row r="1535" spans="4:4">
      <c r="D1535" s="66"/>
    </row>
    <row r="1536" spans="4:4">
      <c r="D1536" s="66"/>
    </row>
    <row r="1537" spans="4:4">
      <c r="D1537" s="66"/>
    </row>
    <row r="1538" spans="4:4">
      <c r="D1538" s="66"/>
    </row>
    <row r="1539" spans="4:4">
      <c r="D1539" s="66"/>
    </row>
    <row r="1540" spans="4:4">
      <c r="D1540" s="66"/>
    </row>
    <row r="1541" spans="4:4">
      <c r="D1541" s="66"/>
    </row>
    <row r="1542" spans="4:4">
      <c r="D1542" s="66"/>
    </row>
    <row r="1543" spans="4:4">
      <c r="D1543" s="66"/>
    </row>
    <row r="1544" spans="4:4">
      <c r="D1544" s="66"/>
    </row>
    <row r="1545" spans="4:4">
      <c r="D1545" s="66"/>
    </row>
    <row r="1546" spans="4:4">
      <c r="D1546" s="66"/>
    </row>
    <row r="1547" spans="4:4">
      <c r="D1547" s="66"/>
    </row>
    <row r="1548" spans="4:4">
      <c r="D1548" s="66"/>
    </row>
    <row r="1549" spans="4:4">
      <c r="D1549" s="66"/>
    </row>
    <row r="1550" spans="4:4">
      <c r="D1550" s="66"/>
    </row>
    <row r="1551" spans="4:4">
      <c r="D1551" s="66"/>
    </row>
    <row r="1552" spans="4:4">
      <c r="D1552" s="66"/>
    </row>
    <row r="1553" spans="4:4">
      <c r="D1553" s="66"/>
    </row>
    <row r="1554" spans="4:4">
      <c r="D1554" s="66"/>
    </row>
    <row r="1555" spans="4:4">
      <c r="D1555" s="66"/>
    </row>
    <row r="1556" spans="4:4">
      <c r="D1556" s="66"/>
    </row>
    <row r="1557" spans="4:4">
      <c r="D1557" s="66"/>
    </row>
    <row r="1558" spans="4:4">
      <c r="D1558" s="66"/>
    </row>
    <row r="1559" spans="4:4">
      <c r="D1559" s="66"/>
    </row>
    <row r="1560" spans="4:4">
      <c r="D1560" s="66"/>
    </row>
    <row r="1561" spans="4:4">
      <c r="D1561" s="66"/>
    </row>
    <row r="1562" spans="4:4">
      <c r="D1562" s="66"/>
    </row>
    <row r="1563" spans="4:4">
      <c r="D1563" s="66"/>
    </row>
    <row r="1564" spans="4:4">
      <c r="D1564" s="66"/>
    </row>
    <row r="1565" spans="4:4">
      <c r="D1565" s="66"/>
    </row>
    <row r="1566" spans="4:4">
      <c r="D1566" s="66"/>
    </row>
    <row r="1567" spans="4:4">
      <c r="D1567" s="66"/>
    </row>
    <row r="1568" spans="4:4">
      <c r="D1568" s="66"/>
    </row>
    <row r="1569" spans="4:4">
      <c r="D1569" s="66"/>
    </row>
    <row r="1570" spans="4:4">
      <c r="D1570" s="66"/>
    </row>
    <row r="1571" spans="4:4">
      <c r="D1571" s="66"/>
    </row>
    <row r="1572" spans="4:4">
      <c r="D1572" s="66"/>
    </row>
    <row r="1573" spans="4:4">
      <c r="D1573" s="66"/>
    </row>
    <row r="1574" spans="4:4">
      <c r="D1574" s="66"/>
    </row>
    <row r="1575" spans="4:4">
      <c r="D1575" s="66"/>
    </row>
    <row r="1576" spans="4:4">
      <c r="D1576" s="66"/>
    </row>
    <row r="1577" spans="4:4">
      <c r="D1577" s="66"/>
    </row>
    <row r="1578" spans="4:4">
      <c r="D1578" s="66"/>
    </row>
    <row r="1579" spans="4:4">
      <c r="D1579" s="66"/>
    </row>
    <row r="1580" spans="4:4">
      <c r="D1580" s="66"/>
    </row>
    <row r="1581" spans="4:4">
      <c r="D1581" s="66"/>
    </row>
    <row r="1582" spans="4:4">
      <c r="D1582" s="66"/>
    </row>
    <row r="1583" spans="4:4">
      <c r="D1583" s="66"/>
    </row>
    <row r="1584" spans="4:4">
      <c r="D1584" s="66"/>
    </row>
    <row r="1585" spans="4:4">
      <c r="D1585" s="66"/>
    </row>
    <row r="1586" spans="4:4">
      <c r="D1586" s="66"/>
    </row>
    <row r="1587" spans="4:4">
      <c r="D1587" s="66"/>
    </row>
    <row r="1588" spans="4:4">
      <c r="D1588" s="66"/>
    </row>
    <row r="1589" spans="4:4">
      <c r="D1589" s="66"/>
    </row>
    <row r="1590" spans="4:4">
      <c r="D1590" s="66"/>
    </row>
    <row r="1591" spans="4:4">
      <c r="D1591" s="66"/>
    </row>
    <row r="1592" spans="4:4">
      <c r="D1592" s="66"/>
    </row>
    <row r="1593" spans="4:4">
      <c r="D1593" s="66"/>
    </row>
    <row r="1594" spans="4:4">
      <c r="D1594" s="66"/>
    </row>
    <row r="1595" spans="4:4">
      <c r="D1595" s="66"/>
    </row>
    <row r="1596" spans="4:4">
      <c r="D1596" s="66"/>
    </row>
    <row r="1597" spans="4:4">
      <c r="D1597" s="66"/>
    </row>
    <row r="1598" spans="4:4">
      <c r="D1598" s="66"/>
    </row>
    <row r="1599" spans="4:4">
      <c r="D1599" s="66"/>
    </row>
    <row r="1600" spans="4:4">
      <c r="D1600" s="66"/>
    </row>
    <row r="1601" spans="4:4">
      <c r="D1601" s="66"/>
    </row>
    <row r="1602" spans="4:4">
      <c r="D1602" s="66"/>
    </row>
    <row r="1603" spans="4:4">
      <c r="D1603" s="66"/>
    </row>
    <row r="1604" spans="4:4">
      <c r="D1604" s="66"/>
    </row>
    <row r="1605" spans="4:4">
      <c r="D1605" s="66"/>
    </row>
    <row r="1606" spans="4:4">
      <c r="D1606" s="66"/>
    </row>
    <row r="1607" spans="4:4">
      <c r="D1607" s="66"/>
    </row>
    <row r="1608" spans="4:4">
      <c r="D1608" s="66"/>
    </row>
    <row r="1609" spans="4:4">
      <c r="D1609" s="66"/>
    </row>
    <row r="1610" spans="4:4">
      <c r="D1610" s="66"/>
    </row>
    <row r="1611" spans="4:4">
      <c r="D1611" s="66"/>
    </row>
    <row r="1612" spans="4:4">
      <c r="D1612" s="66"/>
    </row>
    <row r="1613" spans="4:4">
      <c r="D1613" s="66"/>
    </row>
    <row r="1614" spans="4:4">
      <c r="D1614" s="66"/>
    </row>
    <row r="1615" spans="4:4">
      <c r="D1615" s="66"/>
    </row>
    <row r="1616" spans="4:4">
      <c r="D1616" s="66"/>
    </row>
    <row r="1617" spans="4:4">
      <c r="D1617" s="66"/>
    </row>
    <row r="1618" spans="4:4">
      <c r="D1618" s="66"/>
    </row>
    <row r="1619" spans="4:4">
      <c r="D1619" s="66"/>
    </row>
    <row r="1620" spans="4:4">
      <c r="D1620" s="66"/>
    </row>
    <row r="1621" spans="4:4">
      <c r="D1621" s="66"/>
    </row>
    <row r="1622" spans="4:4">
      <c r="D1622" s="66"/>
    </row>
    <row r="1623" spans="4:4">
      <c r="D1623" s="66"/>
    </row>
    <row r="1624" spans="4:4">
      <c r="D1624" s="66"/>
    </row>
    <row r="1625" spans="4:4">
      <c r="D1625" s="66"/>
    </row>
    <row r="1626" spans="4:4">
      <c r="D1626" s="66"/>
    </row>
    <row r="1627" spans="4:4">
      <c r="D1627" s="66"/>
    </row>
    <row r="1628" spans="4:4">
      <c r="D1628" s="66"/>
    </row>
    <row r="1629" spans="4:4">
      <c r="D1629" s="66"/>
    </row>
    <row r="1630" spans="4:4">
      <c r="D1630" s="66"/>
    </row>
    <row r="1631" spans="4:4">
      <c r="D1631" s="66"/>
    </row>
    <row r="1632" spans="4:4">
      <c r="D1632" s="66"/>
    </row>
    <row r="1633" spans="4:4">
      <c r="D1633" s="66"/>
    </row>
    <row r="1634" spans="4:4">
      <c r="D1634" s="66"/>
    </row>
    <row r="1635" spans="4:4">
      <c r="D1635" s="66"/>
    </row>
    <row r="1636" spans="4:4">
      <c r="D1636" s="66"/>
    </row>
    <row r="1637" spans="4:4">
      <c r="D1637" s="66"/>
    </row>
    <row r="1638" spans="4:4">
      <c r="D1638" s="66"/>
    </row>
    <row r="1639" spans="4:4">
      <c r="D1639" s="66"/>
    </row>
    <row r="1640" spans="4:4">
      <c r="D1640" s="66"/>
    </row>
    <row r="1641" spans="4:4">
      <c r="D1641" s="66"/>
    </row>
    <row r="1642" spans="4:4">
      <c r="D1642" s="66"/>
    </row>
    <row r="1643" spans="4:4">
      <c r="D1643" s="66"/>
    </row>
    <row r="1644" spans="4:4">
      <c r="D1644" s="66"/>
    </row>
    <row r="1645" spans="4:4">
      <c r="D1645" s="66"/>
    </row>
    <row r="1646" spans="4:4">
      <c r="D1646" s="66"/>
    </row>
    <row r="1647" spans="4:4">
      <c r="D1647" s="66"/>
    </row>
    <row r="1648" spans="4:4">
      <c r="D1648" s="66"/>
    </row>
    <row r="1649" spans="4:4">
      <c r="D1649" s="66"/>
    </row>
    <row r="1650" spans="4:4">
      <c r="D1650" s="66"/>
    </row>
    <row r="1651" spans="4:4">
      <c r="D1651" s="66"/>
    </row>
    <row r="1652" spans="4:4">
      <c r="D1652" s="66"/>
    </row>
    <row r="1653" spans="4:4">
      <c r="D1653" s="66"/>
    </row>
    <row r="1654" spans="4:4">
      <c r="D1654" s="66"/>
    </row>
    <row r="1655" spans="4:4">
      <c r="D1655" s="66"/>
    </row>
    <row r="1656" spans="4:4">
      <c r="D1656" s="66"/>
    </row>
    <row r="1657" spans="4:4">
      <c r="D1657" s="66"/>
    </row>
    <row r="1658" spans="4:4">
      <c r="D1658" s="66"/>
    </row>
    <row r="1659" spans="4:4">
      <c r="D1659" s="66"/>
    </row>
    <row r="1660" spans="4:4">
      <c r="D1660" s="66"/>
    </row>
    <row r="1661" spans="4:4">
      <c r="D1661" s="66"/>
    </row>
    <row r="1662" spans="4:4">
      <c r="D1662" s="66"/>
    </row>
    <row r="1663" spans="4:4">
      <c r="D1663" s="66"/>
    </row>
    <row r="1664" spans="4:4">
      <c r="D1664" s="66"/>
    </row>
    <row r="1665" spans="4:4">
      <c r="D1665" s="66"/>
    </row>
    <row r="1666" spans="4:4">
      <c r="D1666" s="66"/>
    </row>
    <row r="1667" spans="4:4">
      <c r="D1667" s="66"/>
    </row>
    <row r="1668" spans="4:4">
      <c r="D1668" s="66"/>
    </row>
    <row r="1669" spans="4:4">
      <c r="D1669" s="66"/>
    </row>
    <row r="1670" spans="4:4">
      <c r="D1670" s="66"/>
    </row>
    <row r="1671" spans="4:4">
      <c r="D1671" s="66"/>
    </row>
    <row r="1672" spans="4:4">
      <c r="D1672" s="66"/>
    </row>
    <row r="1673" spans="4:4">
      <c r="D1673" s="66"/>
    </row>
    <row r="1674" spans="4:4">
      <c r="D1674" s="66"/>
    </row>
    <row r="1675" spans="4:4">
      <c r="D1675" s="66"/>
    </row>
    <row r="1676" spans="4:4">
      <c r="D1676" s="66"/>
    </row>
    <row r="1677" spans="4:4">
      <c r="D1677" s="66"/>
    </row>
    <row r="1678" spans="4:4">
      <c r="D1678" s="66"/>
    </row>
    <row r="1679" spans="4:4">
      <c r="D1679" s="66"/>
    </row>
    <row r="1680" spans="4:4">
      <c r="D1680" s="66"/>
    </row>
    <row r="1681" spans="4:4">
      <c r="D1681" s="66"/>
    </row>
    <row r="1682" spans="4:4">
      <c r="D1682" s="66"/>
    </row>
    <row r="1683" spans="4:4">
      <c r="D1683" s="66"/>
    </row>
    <row r="1684" spans="4:4">
      <c r="D1684" s="66"/>
    </row>
    <row r="1685" spans="4:4">
      <c r="D1685" s="66"/>
    </row>
    <row r="1686" spans="4:4">
      <c r="D1686" s="66"/>
    </row>
    <row r="1687" spans="4:4">
      <c r="D1687" s="66"/>
    </row>
    <row r="1688" spans="4:4">
      <c r="D1688" s="66"/>
    </row>
    <row r="1689" spans="4:4">
      <c r="D1689" s="66"/>
    </row>
    <row r="1690" spans="4:4">
      <c r="D1690" s="66"/>
    </row>
    <row r="1691" spans="4:4">
      <c r="D1691" s="66"/>
    </row>
    <row r="1692" spans="4:4">
      <c r="D1692" s="66"/>
    </row>
    <row r="1693" spans="4:4">
      <c r="D1693" s="66"/>
    </row>
    <row r="1694" spans="4:4">
      <c r="D1694" s="66"/>
    </row>
    <row r="1695" spans="4:4">
      <c r="D1695" s="66"/>
    </row>
    <row r="1696" spans="4:4">
      <c r="D1696" s="66"/>
    </row>
    <row r="1697" spans="4:4">
      <c r="D1697" s="66"/>
    </row>
    <row r="1698" spans="4:4">
      <c r="D1698" s="66"/>
    </row>
    <row r="1699" spans="4:4">
      <c r="D1699" s="66"/>
    </row>
    <row r="1700" spans="4:4">
      <c r="D1700" s="66"/>
    </row>
    <row r="1701" spans="4:4">
      <c r="D1701" s="66"/>
    </row>
    <row r="1702" spans="4:4">
      <c r="D1702" s="66"/>
    </row>
    <row r="1703" spans="4:4">
      <c r="D1703" s="66"/>
    </row>
    <row r="1704" spans="4:4">
      <c r="D1704" s="66"/>
    </row>
    <row r="1705" spans="4:4">
      <c r="D1705" s="66"/>
    </row>
    <row r="1706" spans="4:4">
      <c r="D1706" s="66"/>
    </row>
    <row r="1707" spans="4:4">
      <c r="D1707" s="66"/>
    </row>
    <row r="1708" spans="4:4">
      <c r="D1708" s="66"/>
    </row>
    <row r="1709" spans="4:4">
      <c r="D1709" s="66"/>
    </row>
    <row r="1710" spans="4:4">
      <c r="D1710" s="66"/>
    </row>
    <row r="1711" spans="4:4">
      <c r="D1711" s="66"/>
    </row>
    <row r="1712" spans="4:4">
      <c r="D1712" s="66"/>
    </row>
    <row r="1713" spans="4:4">
      <c r="D1713" s="66"/>
    </row>
    <row r="1714" spans="4:4">
      <c r="D1714" s="66"/>
    </row>
    <row r="1715" spans="4:4">
      <c r="D1715" s="66"/>
    </row>
    <row r="1716" spans="4:4">
      <c r="D1716" s="66"/>
    </row>
    <row r="1717" spans="4:4">
      <c r="D1717" s="66"/>
    </row>
    <row r="1718" spans="4:4">
      <c r="D1718" s="66"/>
    </row>
    <row r="1719" spans="4:4">
      <c r="D1719" s="66"/>
    </row>
    <row r="1720" spans="4:4">
      <c r="D1720" s="66"/>
    </row>
    <row r="1721" spans="4:4">
      <c r="D1721" s="66"/>
    </row>
    <row r="1722" spans="4:4">
      <c r="D1722" s="66"/>
    </row>
    <row r="1723" spans="4:4">
      <c r="D1723" s="66"/>
    </row>
    <row r="1724" spans="4:4">
      <c r="D1724" s="66"/>
    </row>
    <row r="1725" spans="4:4">
      <c r="D1725" s="66"/>
    </row>
    <row r="1726" spans="4:4">
      <c r="D1726" s="66"/>
    </row>
    <row r="1727" spans="4:4">
      <c r="D1727" s="66"/>
    </row>
    <row r="1728" spans="4:4">
      <c r="D1728" s="66"/>
    </row>
    <row r="1729" spans="4:4">
      <c r="D1729" s="66"/>
    </row>
    <row r="1730" spans="4:4">
      <c r="D1730" s="66"/>
    </row>
    <row r="1731" spans="4:4">
      <c r="D1731" s="66"/>
    </row>
    <row r="1732" spans="4:4">
      <c r="D1732" s="66"/>
    </row>
    <row r="1733" spans="4:4">
      <c r="D1733" s="66"/>
    </row>
    <row r="1734" spans="4:4">
      <c r="D1734" s="66"/>
    </row>
    <row r="1735" spans="4:4">
      <c r="D1735" s="66"/>
    </row>
    <row r="1736" spans="4:4">
      <c r="D1736" s="66"/>
    </row>
    <row r="1737" spans="4:4">
      <c r="D1737" s="66"/>
    </row>
    <row r="1738" spans="4:4">
      <c r="D1738" s="66"/>
    </row>
    <row r="1739" spans="4:4">
      <c r="D1739" s="66"/>
    </row>
    <row r="1740" spans="4:4">
      <c r="D1740" s="66"/>
    </row>
    <row r="1741" spans="4:4">
      <c r="D1741" s="66"/>
    </row>
    <row r="1742" spans="4:4">
      <c r="D1742" s="66"/>
    </row>
    <row r="1743" spans="4:4">
      <c r="D1743" s="66"/>
    </row>
    <row r="1744" spans="4:4">
      <c r="D1744" s="66"/>
    </row>
    <row r="1745" spans="4:4">
      <c r="D1745" s="66"/>
    </row>
    <row r="1746" spans="4:4">
      <c r="D1746" s="66"/>
    </row>
    <row r="1747" spans="4:4">
      <c r="D1747" s="66"/>
    </row>
    <row r="1748" spans="4:4">
      <c r="D1748" s="66"/>
    </row>
    <row r="1749" spans="4:4">
      <c r="D1749" s="66"/>
    </row>
    <row r="1750" spans="4:4">
      <c r="D1750" s="66"/>
    </row>
    <row r="1751" spans="4:4">
      <c r="D1751" s="66"/>
    </row>
    <row r="1752" spans="4:4">
      <c r="D1752" s="66"/>
    </row>
    <row r="1753" spans="4:4">
      <c r="D1753" s="66"/>
    </row>
    <row r="1754" spans="4:4">
      <c r="D1754" s="66"/>
    </row>
    <row r="1755" spans="4:4">
      <c r="D1755" s="66"/>
    </row>
    <row r="1756" spans="4:4">
      <c r="D1756" s="66"/>
    </row>
    <row r="1757" spans="4:4">
      <c r="D1757" s="66"/>
    </row>
    <row r="1758" spans="4:4">
      <c r="D1758" s="66"/>
    </row>
    <row r="1759" spans="4:4">
      <c r="D1759" s="66"/>
    </row>
    <row r="1760" spans="4:4">
      <c r="D1760" s="66"/>
    </row>
    <row r="1761" spans="4:4">
      <c r="D1761" s="66"/>
    </row>
    <row r="1762" spans="4:4">
      <c r="D1762" s="66"/>
    </row>
    <row r="1763" spans="4:4">
      <c r="D1763" s="66"/>
    </row>
    <row r="1764" spans="4:4">
      <c r="D1764" s="66"/>
    </row>
    <row r="1765" spans="4:4">
      <c r="D1765" s="66"/>
    </row>
    <row r="1766" spans="4:4">
      <c r="D1766" s="66"/>
    </row>
    <row r="1767" spans="4:4">
      <c r="D1767" s="66"/>
    </row>
    <row r="1768" spans="4:4">
      <c r="D1768" s="66"/>
    </row>
    <row r="1769" spans="4:4">
      <c r="D1769" s="66"/>
    </row>
    <row r="1770" spans="4:4">
      <c r="D1770" s="66"/>
    </row>
    <row r="1771" spans="4:4">
      <c r="D1771" s="66"/>
    </row>
    <row r="1772" spans="4:4">
      <c r="D1772" s="66"/>
    </row>
    <row r="1773" spans="4:4">
      <c r="D1773" s="66"/>
    </row>
    <row r="1774" spans="4:4">
      <c r="D1774" s="66"/>
    </row>
    <row r="1775" spans="4:4">
      <c r="D1775" s="66"/>
    </row>
    <row r="1776" spans="4:4">
      <c r="D1776" s="66"/>
    </row>
    <row r="1777" spans="4:4">
      <c r="D1777" s="66"/>
    </row>
    <row r="1778" spans="4:4">
      <c r="D1778" s="66"/>
    </row>
    <row r="1779" spans="4:4">
      <c r="D1779" s="66"/>
    </row>
    <row r="1780" spans="4:4">
      <c r="D1780" s="66"/>
    </row>
    <row r="1781" spans="4:4">
      <c r="D1781" s="66"/>
    </row>
    <row r="1782" spans="4:4">
      <c r="D1782" s="66"/>
    </row>
    <row r="1783" spans="4:4">
      <c r="D1783" s="66"/>
    </row>
    <row r="1784" spans="4:4">
      <c r="D1784" s="66"/>
    </row>
    <row r="1785" spans="4:4">
      <c r="D1785" s="66"/>
    </row>
    <row r="1786" spans="4:4">
      <c r="D1786" s="66"/>
    </row>
    <row r="1787" spans="4:4">
      <c r="D1787" s="66"/>
    </row>
    <row r="1788" spans="4:4">
      <c r="D1788" s="66"/>
    </row>
    <row r="1789" spans="4:4">
      <c r="D1789" s="66"/>
    </row>
    <row r="1790" spans="4:4">
      <c r="D1790" s="66"/>
    </row>
    <row r="1791" spans="4:4">
      <c r="D1791" s="66"/>
    </row>
    <row r="1792" spans="4:4">
      <c r="D1792" s="66"/>
    </row>
    <row r="1793" spans="4:4">
      <c r="D1793" s="66"/>
    </row>
    <row r="1794" spans="4:4">
      <c r="D1794" s="66"/>
    </row>
    <row r="1795" spans="4:4">
      <c r="D1795" s="66"/>
    </row>
    <row r="1796" spans="4:4">
      <c r="D1796" s="66"/>
    </row>
    <row r="1797" spans="4:4">
      <c r="D1797" s="66"/>
    </row>
    <row r="1798" spans="4:4">
      <c r="D1798" s="66"/>
    </row>
    <row r="1799" spans="4:4">
      <c r="D1799" s="66"/>
    </row>
    <row r="1800" spans="4:4">
      <c r="D1800" s="66"/>
    </row>
    <row r="1801" spans="4:4">
      <c r="D1801" s="66"/>
    </row>
    <row r="1802" spans="4:4">
      <c r="D1802" s="66"/>
    </row>
    <row r="1803" spans="4:4">
      <c r="D1803" s="66"/>
    </row>
    <row r="1804" spans="4:4">
      <c r="D1804" s="66"/>
    </row>
    <row r="1805" spans="4:4">
      <c r="D1805" s="66"/>
    </row>
    <row r="1806" spans="4:4">
      <c r="D1806" s="66"/>
    </row>
    <row r="1807" spans="4:4">
      <c r="D1807" s="66"/>
    </row>
    <row r="1808" spans="4:4">
      <c r="D1808" s="66"/>
    </row>
    <row r="1809" spans="4:4">
      <c r="D1809" s="66"/>
    </row>
    <row r="1810" spans="4:4">
      <c r="D1810" s="66"/>
    </row>
    <row r="1811" spans="4:4">
      <c r="D1811" s="66"/>
    </row>
    <row r="1812" spans="4:4">
      <c r="D1812" s="66"/>
    </row>
    <row r="1813" spans="4:4">
      <c r="D1813" s="66"/>
    </row>
    <row r="1814" spans="4:4">
      <c r="D1814" s="66"/>
    </row>
    <row r="1815" spans="4:4">
      <c r="D1815" s="66"/>
    </row>
    <row r="1816" spans="4:4">
      <c r="D1816" s="66"/>
    </row>
    <row r="1817" spans="4:4">
      <c r="D1817" s="66"/>
    </row>
    <row r="1818" spans="4:4">
      <c r="D1818" s="66"/>
    </row>
    <row r="1819" spans="4:4">
      <c r="D1819" s="66"/>
    </row>
    <row r="1820" spans="4:4">
      <c r="D1820" s="66"/>
    </row>
    <row r="1821" spans="4:4">
      <c r="D1821" s="66"/>
    </row>
    <row r="1822" spans="4:4">
      <c r="D1822" s="66"/>
    </row>
    <row r="1823" spans="4:4">
      <c r="D1823" s="66"/>
    </row>
    <row r="1824" spans="4:4">
      <c r="D1824" s="66"/>
    </row>
    <row r="1825" spans="4:4">
      <c r="D1825" s="66"/>
    </row>
    <row r="1826" spans="4:4">
      <c r="D1826" s="66"/>
    </row>
    <row r="1827" spans="4:4">
      <c r="D1827" s="66"/>
    </row>
    <row r="1828" spans="4:4">
      <c r="D1828" s="66"/>
    </row>
    <row r="1829" spans="4:4">
      <c r="D1829" s="66"/>
    </row>
    <row r="1830" spans="4:4">
      <c r="D1830" s="66"/>
    </row>
    <row r="1831" spans="4:4">
      <c r="D1831" s="66"/>
    </row>
    <row r="1832" spans="4:4">
      <c r="D1832" s="66"/>
    </row>
    <row r="1833" spans="4:4">
      <c r="D1833" s="66"/>
    </row>
    <row r="1834" spans="4:4">
      <c r="D1834" s="66"/>
    </row>
    <row r="1835" spans="4:4">
      <c r="D1835" s="66"/>
    </row>
    <row r="1836" spans="4:4">
      <c r="D1836" s="66"/>
    </row>
    <row r="1837" spans="4:4">
      <c r="D1837" s="66"/>
    </row>
    <row r="1838" spans="4:4">
      <c r="D1838" s="66"/>
    </row>
    <row r="1839" spans="4:4">
      <c r="D1839" s="66"/>
    </row>
    <row r="1840" spans="4:4">
      <c r="D1840" s="66"/>
    </row>
    <row r="1841" spans="4:4">
      <c r="D1841" s="66"/>
    </row>
    <row r="1842" spans="4:4">
      <c r="D1842" s="66"/>
    </row>
    <row r="1843" spans="4:4">
      <c r="D1843" s="66"/>
    </row>
    <row r="1844" spans="4:4">
      <c r="D1844" s="66"/>
    </row>
    <row r="1845" spans="4:4">
      <c r="D1845" s="66"/>
    </row>
    <row r="1846" spans="4:4">
      <c r="D1846" s="66"/>
    </row>
    <row r="1847" spans="4:4">
      <c r="D1847" s="66"/>
    </row>
    <row r="1848" spans="4:4">
      <c r="D1848" s="66"/>
    </row>
    <row r="1849" spans="4:4">
      <c r="D1849" s="66"/>
    </row>
    <row r="1850" spans="4:4">
      <c r="D1850" s="66"/>
    </row>
    <row r="1851" spans="4:4">
      <c r="D1851" s="66"/>
    </row>
    <row r="1852" spans="4:4">
      <c r="D1852" s="66"/>
    </row>
    <row r="1853" spans="4:4">
      <c r="D1853" s="66"/>
    </row>
    <row r="1854" spans="4:4">
      <c r="D1854" s="66"/>
    </row>
    <row r="1855" spans="4:4">
      <c r="D1855" s="66"/>
    </row>
    <row r="1856" spans="4:4">
      <c r="D1856" s="66"/>
    </row>
    <row r="1857" spans="4:4">
      <c r="D1857" s="66"/>
    </row>
    <row r="1858" spans="4:4">
      <c r="D1858" s="66"/>
    </row>
    <row r="1859" spans="4:4">
      <c r="D1859" s="66"/>
    </row>
    <row r="1860" spans="4:4">
      <c r="D1860" s="66"/>
    </row>
    <row r="1861" spans="4:4">
      <c r="D1861" s="66"/>
    </row>
    <row r="1862" spans="4:4">
      <c r="D1862" s="66"/>
    </row>
    <row r="1863" spans="4:4">
      <c r="D1863" s="66"/>
    </row>
    <row r="1864" spans="4:4">
      <c r="D1864" s="66"/>
    </row>
    <row r="1865" spans="4:4">
      <c r="D1865" s="66"/>
    </row>
    <row r="1866" spans="4:4">
      <c r="D1866" s="66"/>
    </row>
    <row r="1867" spans="4:4">
      <c r="D1867" s="66"/>
    </row>
    <row r="1868" spans="4:4">
      <c r="D1868" s="66"/>
    </row>
    <row r="1869" spans="4:4">
      <c r="D1869" s="66"/>
    </row>
    <row r="1870" spans="4:4">
      <c r="D1870" s="66"/>
    </row>
    <row r="1871" spans="4:4">
      <c r="D1871" s="66"/>
    </row>
    <row r="1872" spans="4:4">
      <c r="D1872" s="66"/>
    </row>
    <row r="1873" spans="4:4">
      <c r="D1873" s="66"/>
    </row>
    <row r="1874" spans="4:4">
      <c r="D1874" s="66"/>
    </row>
    <row r="1875" spans="4:4">
      <c r="D1875" s="66"/>
    </row>
    <row r="1876" spans="4:4">
      <c r="D1876" s="66"/>
    </row>
    <row r="1877" spans="4:4">
      <c r="D1877" s="66"/>
    </row>
    <row r="1878" spans="4:4">
      <c r="D1878" s="66"/>
    </row>
    <row r="1879" spans="4:4">
      <c r="D1879" s="66"/>
    </row>
    <row r="1880" spans="4:4">
      <c r="D1880" s="66"/>
    </row>
    <row r="1881" spans="4:4">
      <c r="D1881" s="66"/>
    </row>
    <row r="1882" spans="4:4">
      <c r="D1882" s="66"/>
    </row>
    <row r="1883" spans="4:4">
      <c r="D1883" s="66"/>
    </row>
    <row r="1884" spans="4:4">
      <c r="D1884" s="66"/>
    </row>
    <row r="1885" spans="4:4">
      <c r="D1885" s="66"/>
    </row>
    <row r="1886" spans="4:4">
      <c r="D1886" s="66"/>
    </row>
    <row r="1887" spans="4:4">
      <c r="D1887" s="66"/>
    </row>
    <row r="1888" spans="4:4">
      <c r="D1888" s="66"/>
    </row>
    <row r="1889" spans="4:4">
      <c r="D1889" s="66"/>
    </row>
    <row r="1890" spans="4:4">
      <c r="D1890" s="66"/>
    </row>
    <row r="1891" spans="4:4">
      <c r="D1891" s="66"/>
    </row>
    <row r="1892" spans="4:4">
      <c r="D1892" s="66"/>
    </row>
    <row r="1893" spans="4:4">
      <c r="D1893" s="66"/>
    </row>
    <row r="1894" spans="4:4">
      <c r="D1894" s="66"/>
    </row>
    <row r="1895" spans="4:4">
      <c r="D1895" s="66"/>
    </row>
    <row r="1896" spans="4:4">
      <c r="D1896" s="66"/>
    </row>
    <row r="1897" spans="4:4">
      <c r="D1897" s="66"/>
    </row>
    <row r="1898" spans="4:4">
      <c r="D1898" s="66"/>
    </row>
    <row r="1899" spans="4:4">
      <c r="D1899" s="66"/>
    </row>
    <row r="1900" spans="4:4">
      <c r="D1900" s="66"/>
    </row>
    <row r="1901" spans="4:4">
      <c r="D1901" s="66"/>
    </row>
    <row r="1902" spans="4:4">
      <c r="D1902" s="66"/>
    </row>
    <row r="1903" spans="4:4">
      <c r="D1903" s="66"/>
    </row>
    <row r="1904" spans="4:4">
      <c r="D1904" s="66"/>
    </row>
    <row r="1905" spans="4:4">
      <c r="D1905" s="66"/>
    </row>
    <row r="1906" spans="4:4">
      <c r="D1906" s="66"/>
    </row>
    <row r="1907" spans="4:4">
      <c r="D1907" s="66"/>
    </row>
    <row r="1908" spans="4:4">
      <c r="D1908" s="66"/>
    </row>
    <row r="1909" spans="4:4">
      <c r="D1909" s="66"/>
    </row>
    <row r="1910" spans="4:4">
      <c r="D1910" s="66"/>
    </row>
    <row r="1911" spans="4:4">
      <c r="D1911" s="66"/>
    </row>
    <row r="1912" spans="4:4">
      <c r="D1912" s="66"/>
    </row>
    <row r="1913" spans="4:4">
      <c r="D1913" s="66"/>
    </row>
    <row r="1914" spans="4:4">
      <c r="D1914" s="66"/>
    </row>
    <row r="1915" spans="4:4">
      <c r="D1915" s="66"/>
    </row>
    <row r="1916" spans="4:4">
      <c r="D1916" s="66"/>
    </row>
    <row r="1917" spans="4:4">
      <c r="D1917" s="66"/>
    </row>
    <row r="1918" spans="4:4">
      <c r="D1918" s="66"/>
    </row>
    <row r="1919" spans="4:4">
      <c r="D1919" s="66"/>
    </row>
    <row r="1920" spans="4:4">
      <c r="D1920" s="66"/>
    </row>
    <row r="1921" spans="4:4">
      <c r="D1921" s="66"/>
    </row>
    <row r="1922" spans="4:4">
      <c r="D1922" s="66"/>
    </row>
    <row r="1923" spans="4:4">
      <c r="D1923" s="66"/>
    </row>
    <row r="1924" spans="4:4">
      <c r="D1924" s="66"/>
    </row>
    <row r="1925" spans="4:4">
      <c r="D1925" s="66"/>
    </row>
    <row r="1926" spans="4:4">
      <c r="D1926" s="66"/>
    </row>
    <row r="1927" spans="4:4">
      <c r="D1927" s="66"/>
    </row>
    <row r="1928" spans="4:4">
      <c r="D1928" s="66"/>
    </row>
    <row r="1929" spans="4:4">
      <c r="D1929" s="66"/>
    </row>
    <row r="1930" spans="4:4">
      <c r="D1930" s="66"/>
    </row>
    <row r="1931" spans="4:4">
      <c r="D1931" s="66"/>
    </row>
    <row r="1932" spans="4:4">
      <c r="D1932" s="66"/>
    </row>
    <row r="1933" spans="4:4">
      <c r="D1933" s="66"/>
    </row>
    <row r="1934" spans="4:4">
      <c r="D1934" s="66"/>
    </row>
    <row r="1935" spans="4:4">
      <c r="D1935" s="66"/>
    </row>
    <row r="1936" spans="4:4">
      <c r="D1936" s="66"/>
    </row>
    <row r="1937" spans="4:4">
      <c r="D1937" s="66"/>
    </row>
    <row r="1938" spans="4:4">
      <c r="D1938" s="66"/>
    </row>
    <row r="1939" spans="4:4">
      <c r="D1939" s="66"/>
    </row>
    <row r="1940" spans="4:4">
      <c r="D1940" s="66"/>
    </row>
    <row r="1941" spans="4:4">
      <c r="D1941" s="66"/>
    </row>
    <row r="1942" spans="4:4">
      <c r="D1942" s="66"/>
    </row>
    <row r="1943" spans="4:4">
      <c r="D1943" s="66"/>
    </row>
    <row r="1944" spans="4:4">
      <c r="D1944" s="66"/>
    </row>
    <row r="1945" spans="4:4">
      <c r="D1945" s="66"/>
    </row>
    <row r="1946" spans="4:4">
      <c r="D1946" s="66"/>
    </row>
    <row r="1947" spans="4:4">
      <c r="D1947" s="66"/>
    </row>
    <row r="1948" spans="4:4">
      <c r="D1948" s="66"/>
    </row>
    <row r="1949" spans="4:4">
      <c r="D1949" s="66"/>
    </row>
    <row r="1950" spans="4:4">
      <c r="D1950" s="66"/>
    </row>
    <row r="1951" spans="4:4">
      <c r="D1951" s="66"/>
    </row>
    <row r="1952" spans="4:4">
      <c r="D1952" s="66"/>
    </row>
    <row r="1953" spans="4:4">
      <c r="D1953" s="66"/>
    </row>
    <row r="1954" spans="4:4">
      <c r="D1954" s="66"/>
    </row>
    <row r="1955" spans="4:4">
      <c r="D1955" s="66"/>
    </row>
    <row r="1956" spans="4:4">
      <c r="D1956" s="66"/>
    </row>
    <row r="1957" spans="4:4">
      <c r="D1957" s="66"/>
    </row>
    <row r="1958" spans="4:4">
      <c r="D1958" s="66"/>
    </row>
    <row r="1959" spans="4:4">
      <c r="D1959" s="66"/>
    </row>
    <row r="1960" spans="4:4">
      <c r="D1960" s="66"/>
    </row>
    <row r="1961" spans="4:4">
      <c r="D1961" s="66"/>
    </row>
    <row r="1962" spans="4:4">
      <c r="D1962" s="66"/>
    </row>
    <row r="1963" spans="4:4">
      <c r="D1963" s="66"/>
    </row>
    <row r="1964" spans="4:4">
      <c r="D1964" s="66"/>
    </row>
    <row r="1965" spans="4:4">
      <c r="D1965" s="66"/>
    </row>
    <row r="1966" spans="4:4">
      <c r="D1966" s="66"/>
    </row>
    <row r="1967" spans="4:4">
      <c r="D1967" s="66"/>
    </row>
    <row r="1968" spans="4:4">
      <c r="D1968" s="66"/>
    </row>
    <row r="1969" spans="4:4">
      <c r="D1969" s="66"/>
    </row>
    <row r="1970" spans="4:4">
      <c r="D1970" s="66"/>
    </row>
    <row r="1971" spans="4:4">
      <c r="D1971" s="66"/>
    </row>
    <row r="1972" spans="4:4">
      <c r="D1972" s="66"/>
    </row>
    <row r="1973" spans="4:4">
      <c r="D1973" s="66"/>
    </row>
    <row r="1974" spans="4:4">
      <c r="D1974" s="66"/>
    </row>
    <row r="1975" spans="4:4">
      <c r="D1975" s="66"/>
    </row>
    <row r="1976" spans="4:4">
      <c r="D1976" s="66"/>
    </row>
    <row r="1977" spans="4:4">
      <c r="D1977" s="66"/>
    </row>
    <row r="1978" spans="4:4">
      <c r="D1978" s="66"/>
    </row>
    <row r="1979" spans="4:4">
      <c r="D1979" s="66"/>
    </row>
    <row r="1980" spans="4:4">
      <c r="D1980" s="66"/>
    </row>
    <row r="1981" spans="4:4">
      <c r="D1981" s="66"/>
    </row>
    <row r="1982" spans="4:4">
      <c r="D1982" s="66"/>
    </row>
    <row r="1983" spans="4:4">
      <c r="D1983" s="66"/>
    </row>
    <row r="1984" spans="4:4">
      <c r="D1984" s="66"/>
    </row>
    <row r="1985" spans="4:4">
      <c r="D1985" s="66"/>
    </row>
    <row r="1986" spans="4:4">
      <c r="D1986" s="66"/>
    </row>
    <row r="1987" spans="4:4">
      <c r="D1987" s="66"/>
    </row>
    <row r="1988" spans="4:4">
      <c r="D1988" s="66"/>
    </row>
    <row r="1989" spans="4:4">
      <c r="D1989" s="66"/>
    </row>
    <row r="1990" spans="4:4">
      <c r="D1990" s="66"/>
    </row>
    <row r="1991" spans="4:4">
      <c r="D1991" s="66"/>
    </row>
    <row r="1992" spans="4:4">
      <c r="D1992" s="66"/>
    </row>
    <row r="1993" spans="4:4">
      <c r="D1993" s="66"/>
    </row>
    <row r="1994" spans="4:4">
      <c r="D1994" s="66"/>
    </row>
    <row r="1995" spans="4:4">
      <c r="D1995" s="66"/>
    </row>
    <row r="1996" spans="4:4">
      <c r="D1996" s="66"/>
    </row>
    <row r="1997" spans="4:4">
      <c r="D1997" s="66"/>
    </row>
    <row r="1998" spans="4:4">
      <c r="D1998" s="66"/>
    </row>
    <row r="1999" spans="4:4">
      <c r="D1999" s="66"/>
    </row>
    <row r="2000" spans="4:4">
      <c r="D2000" s="66"/>
    </row>
    <row r="2001" spans="4:4">
      <c r="D2001" s="66"/>
    </row>
    <row r="2002" spans="4:4">
      <c r="D2002" s="66"/>
    </row>
    <row r="2003" spans="4:4">
      <c r="D2003" s="66"/>
    </row>
    <row r="2004" spans="4:4">
      <c r="D2004" s="66"/>
    </row>
    <row r="2005" spans="4:4">
      <c r="D2005" s="66"/>
    </row>
    <row r="2006" spans="4:4">
      <c r="D2006" s="66"/>
    </row>
    <row r="2007" spans="4:4">
      <c r="D2007" s="66"/>
    </row>
    <row r="2008" spans="4:4">
      <c r="D2008" s="66"/>
    </row>
    <row r="2009" spans="4:4">
      <c r="D2009" s="66"/>
    </row>
    <row r="2010" spans="4:4">
      <c r="D2010" s="66"/>
    </row>
    <row r="2011" spans="4:4">
      <c r="D2011" s="66"/>
    </row>
    <row r="2012" spans="4:4">
      <c r="D2012" s="66"/>
    </row>
    <row r="2013" spans="4:4">
      <c r="D2013" s="66"/>
    </row>
    <row r="2014" spans="4:4">
      <c r="D2014" s="66"/>
    </row>
    <row r="2015" spans="4:4">
      <c r="D2015" s="66"/>
    </row>
    <row r="2016" spans="4:4">
      <c r="D2016" s="66"/>
    </row>
    <row r="2017" spans="4:4">
      <c r="D2017" s="66"/>
    </row>
    <row r="2018" spans="4:4">
      <c r="D2018" s="66"/>
    </row>
    <row r="2019" spans="4:4">
      <c r="D2019" s="66"/>
    </row>
    <row r="2020" spans="4:4">
      <c r="D2020" s="66"/>
    </row>
    <row r="2021" spans="4:4">
      <c r="D2021" s="66"/>
    </row>
    <row r="2022" spans="4:4">
      <c r="D2022" s="66"/>
    </row>
    <row r="2023" spans="4:4">
      <c r="D2023" s="66"/>
    </row>
    <row r="2024" spans="4:4">
      <c r="D2024" s="66"/>
    </row>
    <row r="2025" spans="4:4">
      <c r="D2025" s="66"/>
    </row>
    <row r="2026" spans="4:4">
      <c r="D2026" s="66"/>
    </row>
    <row r="2027" spans="4:4">
      <c r="D2027" s="66"/>
    </row>
    <row r="2028" spans="4:4">
      <c r="D2028" s="66"/>
    </row>
    <row r="2029" spans="4:4">
      <c r="D2029" s="66"/>
    </row>
    <row r="2030" spans="4:4">
      <c r="D2030" s="66"/>
    </row>
    <row r="2031" spans="4:4">
      <c r="D2031" s="66"/>
    </row>
    <row r="2032" spans="4:4">
      <c r="D2032" s="66"/>
    </row>
    <row r="2033" spans="4:4">
      <c r="D2033" s="66"/>
    </row>
    <row r="2034" spans="4:4">
      <c r="D2034" s="66"/>
    </row>
    <row r="2035" spans="4:4">
      <c r="D2035" s="66"/>
    </row>
    <row r="2036" spans="4:4">
      <c r="D2036" s="66"/>
    </row>
    <row r="2037" spans="4:4">
      <c r="D2037" s="66"/>
    </row>
    <row r="2038" spans="4:4">
      <c r="D2038" s="66"/>
    </row>
    <row r="2039" spans="4:4">
      <c r="D2039" s="66"/>
    </row>
    <row r="2040" spans="4:4">
      <c r="D2040" s="66"/>
    </row>
    <row r="2041" spans="4:4">
      <c r="D2041" s="66"/>
    </row>
    <row r="2042" spans="4:4">
      <c r="D2042" s="66"/>
    </row>
    <row r="2043" spans="4:4">
      <c r="D2043" s="66"/>
    </row>
    <row r="2044" spans="4:4">
      <c r="D2044" s="66"/>
    </row>
    <row r="2045" spans="4:4">
      <c r="D2045" s="66"/>
    </row>
    <row r="2046" spans="4:4">
      <c r="D2046" s="66"/>
    </row>
    <row r="2047" spans="4:4">
      <c r="D2047" s="66"/>
    </row>
    <row r="2048" spans="4:4">
      <c r="D2048" s="66"/>
    </row>
    <row r="2049" spans="4:4">
      <c r="D2049" s="66"/>
    </row>
    <row r="2050" spans="4:4">
      <c r="D2050" s="66"/>
    </row>
    <row r="2051" spans="4:4">
      <c r="D2051" s="66"/>
    </row>
    <row r="2052" spans="4:4">
      <c r="D2052" s="66"/>
    </row>
    <row r="2053" spans="4:4">
      <c r="D2053" s="66"/>
    </row>
    <row r="2054" spans="4:4">
      <c r="D2054" s="66"/>
    </row>
    <row r="2055" spans="4:4">
      <c r="D2055" s="66"/>
    </row>
    <row r="2056" spans="4:4">
      <c r="D2056" s="66"/>
    </row>
    <row r="2057" spans="4:4">
      <c r="D2057" s="66"/>
    </row>
    <row r="2058" spans="4:4">
      <c r="D2058" s="66"/>
    </row>
    <row r="2059" spans="4:4">
      <c r="D2059" s="66"/>
    </row>
    <row r="2060" spans="4:4">
      <c r="D2060" s="66"/>
    </row>
    <row r="2061" spans="4:4">
      <c r="D2061" s="66"/>
    </row>
    <row r="2062" spans="4:4">
      <c r="D2062" s="66"/>
    </row>
    <row r="2063" spans="4:4">
      <c r="D2063" s="66"/>
    </row>
    <row r="2064" spans="4:4">
      <c r="D2064" s="66"/>
    </row>
    <row r="2065" spans="4:4">
      <c r="D2065" s="66"/>
    </row>
    <row r="2066" spans="4:4">
      <c r="D2066" s="66"/>
    </row>
    <row r="2067" spans="4:4">
      <c r="D2067" s="66"/>
    </row>
    <row r="2068" spans="4:4">
      <c r="D2068" s="66"/>
    </row>
    <row r="2069" spans="4:4">
      <c r="D2069" s="66"/>
    </row>
    <row r="2070" spans="4:4">
      <c r="D2070" s="66"/>
    </row>
    <row r="2071" spans="4:4">
      <c r="D2071" s="66"/>
    </row>
    <row r="2072" spans="4:4">
      <c r="D2072" s="66"/>
    </row>
    <row r="2073" spans="4:4">
      <c r="D2073" s="66"/>
    </row>
    <row r="2074" spans="4:4">
      <c r="D2074" s="66"/>
    </row>
    <row r="2075" spans="4:4">
      <c r="D2075" s="66"/>
    </row>
    <row r="2076" spans="4:4">
      <c r="D2076" s="66"/>
    </row>
    <row r="2077" spans="4:4">
      <c r="D2077" s="66"/>
    </row>
    <row r="2078" spans="4:4">
      <c r="D2078" s="66"/>
    </row>
    <row r="2079" spans="4:4">
      <c r="D2079" s="66"/>
    </row>
    <row r="2080" spans="4:4">
      <c r="D2080" s="66"/>
    </row>
    <row r="2081" spans="4:4">
      <c r="D2081" s="66"/>
    </row>
    <row r="2082" spans="4:4">
      <c r="D2082" s="66"/>
    </row>
    <row r="2083" spans="4:4">
      <c r="D2083" s="66"/>
    </row>
    <row r="2084" spans="4:4">
      <c r="D2084" s="66"/>
    </row>
    <row r="2085" spans="4:4">
      <c r="D2085" s="66"/>
    </row>
    <row r="2086" spans="4:4">
      <c r="D2086" s="66"/>
    </row>
    <row r="2087" spans="4:4">
      <c r="D2087" s="66"/>
    </row>
    <row r="2088" spans="4:4">
      <c r="D2088" s="66"/>
    </row>
    <row r="2089" spans="4:4">
      <c r="D2089" s="66"/>
    </row>
    <row r="2090" spans="4:4">
      <c r="D2090" s="66"/>
    </row>
    <row r="2091" spans="4:4">
      <c r="D2091" s="66"/>
    </row>
    <row r="2092" spans="4:4">
      <c r="D2092" s="66"/>
    </row>
    <row r="2093" spans="4:4">
      <c r="D2093" s="66"/>
    </row>
    <row r="2094" spans="4:4">
      <c r="D2094" s="66"/>
    </row>
    <row r="2095" spans="4:4">
      <c r="D2095" s="66"/>
    </row>
    <row r="2096" spans="4:4">
      <c r="D2096" s="66"/>
    </row>
    <row r="2097" spans="4:4">
      <c r="D2097" s="66"/>
    </row>
    <row r="2098" spans="4:4">
      <c r="D2098" s="66"/>
    </row>
    <row r="2099" spans="4:4">
      <c r="D2099" s="66"/>
    </row>
    <row r="2100" spans="4:4">
      <c r="D2100" s="66"/>
    </row>
    <row r="2101" spans="4:4">
      <c r="D2101" s="66"/>
    </row>
    <row r="2102" spans="4:4">
      <c r="D2102" s="66"/>
    </row>
    <row r="2103" spans="4:4">
      <c r="D2103" s="66"/>
    </row>
    <row r="2104" spans="4:4">
      <c r="D2104" s="66"/>
    </row>
    <row r="2105" spans="4:4">
      <c r="D2105" s="66"/>
    </row>
    <row r="2106" spans="4:4">
      <c r="D2106" s="66"/>
    </row>
    <row r="2107" spans="4:4">
      <c r="D2107" s="66"/>
    </row>
    <row r="2108" spans="4:4">
      <c r="D2108" s="66"/>
    </row>
    <row r="2109" spans="4:4">
      <c r="D2109" s="66"/>
    </row>
    <row r="2110" spans="4:4">
      <c r="D2110" s="66"/>
    </row>
    <row r="2111" spans="4:4">
      <c r="D2111" s="66"/>
    </row>
    <row r="2112" spans="4:4">
      <c r="D2112" s="66"/>
    </row>
    <row r="2113" spans="4:4">
      <c r="D2113" s="66"/>
    </row>
    <row r="2114" spans="4:4">
      <c r="D2114" s="66"/>
    </row>
    <row r="2115" spans="4:4">
      <c r="D2115" s="66"/>
    </row>
    <row r="2116" spans="4:4">
      <c r="D2116" s="66"/>
    </row>
    <row r="2117" spans="4:4">
      <c r="D2117" s="66"/>
    </row>
    <row r="2118" spans="4:4">
      <c r="D2118" s="66"/>
    </row>
    <row r="2119" spans="4:4">
      <c r="D2119" s="66"/>
    </row>
    <row r="2120" spans="4:4">
      <c r="D2120" s="66"/>
    </row>
    <row r="2121" spans="4:4">
      <c r="D2121" s="66"/>
    </row>
    <row r="2122" spans="4:4">
      <c r="D2122" s="66"/>
    </row>
    <row r="2123" spans="4:4">
      <c r="D2123" s="66"/>
    </row>
    <row r="2124" spans="4:4">
      <c r="D2124" s="66"/>
    </row>
    <row r="2125" spans="4:4">
      <c r="D2125" s="66"/>
    </row>
    <row r="2126" spans="4:4">
      <c r="D2126" s="66"/>
    </row>
    <row r="2127" spans="4:4">
      <c r="D2127" s="66"/>
    </row>
    <row r="2128" spans="4:4">
      <c r="D2128" s="66"/>
    </row>
    <row r="2129" spans="4:4">
      <c r="D2129" s="66"/>
    </row>
    <row r="2130" spans="4:4">
      <c r="D2130" s="66"/>
    </row>
    <row r="2131" spans="4:4">
      <c r="D2131" s="66"/>
    </row>
    <row r="2132" spans="4:4">
      <c r="D2132" s="66"/>
    </row>
    <row r="2133" spans="4:4">
      <c r="D2133" s="66"/>
    </row>
    <row r="2134" spans="4:4">
      <c r="D2134" s="66"/>
    </row>
    <row r="2135" spans="4:4">
      <c r="D2135" s="66"/>
    </row>
    <row r="2136" spans="4:4">
      <c r="D2136" s="66"/>
    </row>
    <row r="2137" spans="4:4">
      <c r="D2137" s="66"/>
    </row>
    <row r="2138" spans="4:4">
      <c r="D2138" s="66"/>
    </row>
    <row r="2139" spans="4:4">
      <c r="D2139" s="66"/>
    </row>
    <row r="2140" spans="4:4">
      <c r="D2140" s="66"/>
    </row>
    <row r="2141" spans="4:4">
      <c r="D2141" s="66"/>
    </row>
    <row r="2142" spans="4:4">
      <c r="D2142" s="66"/>
    </row>
    <row r="2143" spans="4:4">
      <c r="D2143" s="66"/>
    </row>
    <row r="2144" spans="4:4">
      <c r="D2144" s="66"/>
    </row>
    <row r="2145" spans="4:4">
      <c r="D2145" s="66"/>
    </row>
    <row r="2146" spans="4:4">
      <c r="D2146" s="66"/>
    </row>
    <row r="2147" spans="4:4">
      <c r="D2147" s="66"/>
    </row>
    <row r="2148" spans="4:4">
      <c r="D2148" s="66"/>
    </row>
    <row r="2149" spans="4:4">
      <c r="D2149" s="66"/>
    </row>
    <row r="2150" spans="4:4">
      <c r="D2150" s="66"/>
    </row>
    <row r="2151" spans="4:4">
      <c r="D2151" s="66"/>
    </row>
    <row r="2152" spans="4:4">
      <c r="D2152" s="66"/>
    </row>
    <row r="2153" spans="4:4">
      <c r="D2153" s="66"/>
    </row>
    <row r="2154" spans="4:4">
      <c r="D2154" s="66"/>
    </row>
    <row r="2155" spans="4:4">
      <c r="D2155" s="66"/>
    </row>
    <row r="2156" spans="4:4">
      <c r="D2156" s="66"/>
    </row>
    <row r="2157" spans="4:4">
      <c r="D2157" s="66"/>
    </row>
    <row r="2158" spans="4:4">
      <c r="D2158" s="66"/>
    </row>
    <row r="2159" spans="4:4">
      <c r="D2159" s="66"/>
    </row>
    <row r="2160" spans="4:4">
      <c r="D2160" s="66"/>
    </row>
    <row r="2161" spans="4:4">
      <c r="D2161" s="66"/>
    </row>
    <row r="2162" spans="4:4">
      <c r="D2162" s="66"/>
    </row>
    <row r="2163" spans="4:4">
      <c r="D2163" s="66"/>
    </row>
    <row r="2164" spans="4:4">
      <c r="D2164" s="66"/>
    </row>
    <row r="2165" spans="4:4">
      <c r="D2165" s="66"/>
    </row>
    <row r="2166" spans="4:4">
      <c r="D2166" s="66"/>
    </row>
    <row r="2167" spans="4:4">
      <c r="D2167" s="66"/>
    </row>
    <row r="2168" spans="4:4">
      <c r="D2168" s="66"/>
    </row>
    <row r="2169" spans="4:4">
      <c r="D2169" s="66"/>
    </row>
    <row r="2170" spans="4:4">
      <c r="D2170" s="66"/>
    </row>
    <row r="2171" spans="4:4">
      <c r="D2171" s="66"/>
    </row>
    <row r="2172" spans="4:4">
      <c r="D2172" s="66"/>
    </row>
    <row r="2173" spans="4:4">
      <c r="D2173" s="66"/>
    </row>
    <row r="2174" spans="4:4">
      <c r="D2174" s="66"/>
    </row>
    <row r="2175" spans="4:4">
      <c r="D2175" s="66"/>
    </row>
    <row r="2176" spans="4:4">
      <c r="D2176" s="66"/>
    </row>
    <row r="2177" spans="4:4">
      <c r="D2177" s="66"/>
    </row>
    <row r="2178" spans="4:4">
      <c r="D2178" s="66"/>
    </row>
    <row r="2179" spans="4:4">
      <c r="D2179" s="66"/>
    </row>
    <row r="2180" spans="4:4">
      <c r="D2180" s="66"/>
    </row>
    <row r="2181" spans="4:4">
      <c r="D2181" s="66"/>
    </row>
    <row r="2182" spans="4:4">
      <c r="D2182" s="66"/>
    </row>
    <row r="2183" spans="4:4">
      <c r="D2183" s="66"/>
    </row>
    <row r="2184" spans="4:4">
      <c r="D2184" s="66"/>
    </row>
    <row r="2185" spans="4:4">
      <c r="D2185" s="66"/>
    </row>
    <row r="2186" spans="4:4">
      <c r="D2186" s="66"/>
    </row>
    <row r="2187" spans="4:4">
      <c r="D2187" s="66"/>
    </row>
    <row r="2188" spans="4:4">
      <c r="D2188" s="66"/>
    </row>
    <row r="2189" spans="4:4">
      <c r="D2189" s="66"/>
    </row>
    <row r="2190" spans="4:4">
      <c r="D2190" s="66"/>
    </row>
    <row r="2191" spans="4:4">
      <c r="D2191" s="66"/>
    </row>
    <row r="2192" spans="4:4">
      <c r="D2192" s="66"/>
    </row>
    <row r="2193" spans="4:4">
      <c r="D2193" s="66"/>
    </row>
    <row r="2194" spans="4:4">
      <c r="D2194" s="66"/>
    </row>
    <row r="2195" spans="4:4">
      <c r="D2195" s="66"/>
    </row>
    <row r="2196" spans="4:4">
      <c r="D2196" s="66"/>
    </row>
    <row r="2197" spans="4:4">
      <c r="D2197" s="66"/>
    </row>
    <row r="2198" spans="4:4">
      <c r="D2198" s="66"/>
    </row>
    <row r="2199" spans="4:4">
      <c r="D2199" s="66"/>
    </row>
    <row r="2200" spans="4:4">
      <c r="D2200" s="66"/>
    </row>
    <row r="2201" spans="4:4">
      <c r="D2201" s="66"/>
    </row>
    <row r="2202" spans="4:4">
      <c r="D2202" s="66"/>
    </row>
    <row r="2203" spans="4:4">
      <c r="D2203" s="66"/>
    </row>
    <row r="2204" spans="4:4">
      <c r="D2204" s="66"/>
    </row>
    <row r="2205" spans="4:4">
      <c r="D2205" s="66"/>
    </row>
    <row r="2206" spans="4:4">
      <c r="D2206" s="66"/>
    </row>
    <row r="2207" spans="4:4">
      <c r="D2207" s="66"/>
    </row>
    <row r="2208" spans="4:4">
      <c r="D2208" s="66"/>
    </row>
    <row r="2209" spans="4:4">
      <c r="D2209" s="66"/>
    </row>
    <row r="2210" spans="4:4">
      <c r="D2210" s="66"/>
    </row>
    <row r="2211" spans="4:4">
      <c r="D2211" s="66"/>
    </row>
    <row r="2212" spans="4:4">
      <c r="D2212" s="66"/>
    </row>
    <row r="2213" spans="4:4">
      <c r="D2213" s="66"/>
    </row>
    <row r="2214" spans="4:4">
      <c r="D2214" s="66"/>
    </row>
    <row r="2215" spans="4:4">
      <c r="D2215" s="66"/>
    </row>
    <row r="2216" spans="4:4">
      <c r="D2216" s="66"/>
    </row>
    <row r="2217" spans="4:4">
      <c r="D2217" s="66"/>
    </row>
    <row r="2218" spans="4:4">
      <c r="D2218" s="66"/>
    </row>
    <row r="2219" spans="4:4">
      <c r="D2219" s="66"/>
    </row>
    <row r="2220" spans="4:4">
      <c r="D2220" s="66"/>
    </row>
    <row r="2221" spans="4:4">
      <c r="D2221" s="66"/>
    </row>
    <row r="2222" spans="4:4">
      <c r="D2222" s="66"/>
    </row>
    <row r="2223" spans="4:4">
      <c r="D2223" s="66"/>
    </row>
    <row r="2224" spans="4:4">
      <c r="D2224" s="66"/>
    </row>
    <row r="2225" spans="4:4">
      <c r="D2225" s="66"/>
    </row>
    <row r="2226" spans="4:4">
      <c r="D2226" s="66"/>
    </row>
    <row r="2227" spans="4:4">
      <c r="D2227" s="66"/>
    </row>
    <row r="2228" spans="4:4">
      <c r="D2228" s="66"/>
    </row>
    <row r="2229" spans="4:4">
      <c r="D2229" s="66"/>
    </row>
    <row r="2230" spans="4:4">
      <c r="D2230" s="66"/>
    </row>
    <row r="2231" spans="4:4">
      <c r="D2231" s="66"/>
    </row>
    <row r="2232" spans="4:4">
      <c r="D2232" s="66"/>
    </row>
    <row r="2233" spans="4:4">
      <c r="D2233" s="66"/>
    </row>
    <row r="2234" spans="4:4">
      <c r="D2234" s="66"/>
    </row>
    <row r="2235" spans="4:4">
      <c r="D2235" s="66"/>
    </row>
    <row r="2236" spans="4:4">
      <c r="D2236" s="66"/>
    </row>
    <row r="2237" spans="4:4">
      <c r="D2237" s="66"/>
    </row>
    <row r="2238" spans="4:4">
      <c r="D2238" s="66"/>
    </row>
    <row r="2239" spans="4:4">
      <c r="D2239" s="66"/>
    </row>
    <row r="2240" spans="4:4">
      <c r="D2240" s="66"/>
    </row>
    <row r="2241" spans="4:4">
      <c r="D2241" s="66"/>
    </row>
    <row r="2242" spans="4:4">
      <c r="D2242" s="66"/>
    </row>
    <row r="2243" spans="4:4">
      <c r="D2243" s="66"/>
    </row>
    <row r="2244" spans="4:4">
      <c r="D2244" s="66"/>
    </row>
    <row r="2245" spans="4:4">
      <c r="D2245" s="66"/>
    </row>
    <row r="2246" spans="4:4">
      <c r="D2246" s="66"/>
    </row>
    <row r="2247" spans="4:4">
      <c r="D2247" s="66"/>
    </row>
    <row r="2248" spans="4:4">
      <c r="D2248" s="66"/>
    </row>
    <row r="2249" spans="4:4">
      <c r="D2249" s="66"/>
    </row>
    <row r="2250" spans="4:4">
      <c r="D2250" s="66"/>
    </row>
    <row r="2251" spans="4:4">
      <c r="D2251" s="66"/>
    </row>
    <row r="2252" spans="4:4">
      <c r="D2252" s="66"/>
    </row>
    <row r="2253" spans="4:4">
      <c r="D2253" s="66"/>
    </row>
    <row r="2254" spans="4:4">
      <c r="D2254" s="66"/>
    </row>
    <row r="2255" spans="4:4">
      <c r="D2255" s="66"/>
    </row>
    <row r="2256" spans="4:4">
      <c r="D2256" s="66"/>
    </row>
    <row r="2257" spans="4:4">
      <c r="D2257" s="66"/>
    </row>
    <row r="2258" spans="4:4">
      <c r="D2258" s="66"/>
    </row>
    <row r="2259" spans="4:4">
      <c r="D2259" s="66"/>
    </row>
    <row r="2260" spans="4:4">
      <c r="D2260" s="66"/>
    </row>
    <row r="2261" spans="4:4">
      <c r="D2261" s="66"/>
    </row>
    <row r="2262" spans="4:4">
      <c r="D2262" s="66"/>
    </row>
    <row r="2263" spans="4:4">
      <c r="D2263" s="66"/>
    </row>
    <row r="2264" spans="4:4">
      <c r="D2264" s="66"/>
    </row>
    <row r="2265" spans="4:4">
      <c r="D2265" s="66"/>
    </row>
    <row r="2266" spans="4:4">
      <c r="D2266" s="66"/>
    </row>
    <row r="2267" spans="4:4">
      <c r="D2267" s="66"/>
    </row>
    <row r="2268" spans="4:4">
      <c r="D2268" s="66"/>
    </row>
    <row r="2269" spans="4:4">
      <c r="D2269" s="66"/>
    </row>
    <row r="2270" spans="4:4">
      <c r="D2270" s="66"/>
    </row>
    <row r="2271" spans="4:4">
      <c r="D2271" s="66"/>
    </row>
    <row r="2272" spans="4:4">
      <c r="D2272" s="66"/>
    </row>
    <row r="2273" spans="4:4">
      <c r="D2273" s="66"/>
    </row>
    <row r="2274" spans="4:4">
      <c r="D2274" s="66"/>
    </row>
    <row r="2275" spans="4:4">
      <c r="D2275" s="66"/>
    </row>
    <row r="2276" spans="4:4">
      <c r="D2276" s="66"/>
    </row>
    <row r="2277" spans="4:4">
      <c r="D2277" s="66"/>
    </row>
    <row r="2278" spans="4:4">
      <c r="D2278" s="66"/>
    </row>
    <row r="2279" spans="4:4">
      <c r="D2279" s="66"/>
    </row>
    <row r="2280" spans="4:4">
      <c r="D2280" s="66"/>
    </row>
    <row r="2281" spans="4:4">
      <c r="D2281" s="66"/>
    </row>
    <row r="2282" spans="4:4">
      <c r="D2282" s="66"/>
    </row>
    <row r="2283" spans="4:4">
      <c r="D2283" s="66"/>
    </row>
    <row r="2284" spans="4:4">
      <c r="D2284" s="66"/>
    </row>
    <row r="2285" spans="4:4">
      <c r="D2285" s="66"/>
    </row>
    <row r="2286" spans="4:4">
      <c r="D2286" s="66"/>
    </row>
    <row r="2287" spans="4:4">
      <c r="D2287" s="66"/>
    </row>
    <row r="2288" spans="4:4">
      <c r="D2288" s="66"/>
    </row>
    <row r="2289" spans="4:4">
      <c r="D2289" s="66"/>
    </row>
    <row r="2290" spans="4:4">
      <c r="D2290" s="66"/>
    </row>
    <row r="2291" spans="4:4">
      <c r="D2291" s="66"/>
    </row>
    <row r="2292" spans="4:4">
      <c r="D2292" s="66"/>
    </row>
    <row r="2293" spans="4:4">
      <c r="D2293" s="66"/>
    </row>
    <row r="2294" spans="4:4">
      <c r="D2294" s="66"/>
    </row>
    <row r="2295" spans="4:4">
      <c r="D2295" s="66"/>
    </row>
    <row r="2296" spans="4:4">
      <c r="D2296" s="66"/>
    </row>
    <row r="2297" spans="4:4">
      <c r="D2297" s="66"/>
    </row>
    <row r="2298" spans="4:4">
      <c r="D2298" s="66"/>
    </row>
    <row r="2299" spans="4:4">
      <c r="D2299" s="66"/>
    </row>
    <row r="2300" spans="4:4">
      <c r="D2300" s="66"/>
    </row>
    <row r="2301" spans="4:4">
      <c r="D2301" s="66"/>
    </row>
    <row r="2302" spans="4:4">
      <c r="D2302" s="66"/>
    </row>
    <row r="2303" spans="4:4">
      <c r="D2303" s="66"/>
    </row>
    <row r="2304" spans="4:4">
      <c r="D2304" s="66"/>
    </row>
    <row r="2305" spans="4:4">
      <c r="D2305" s="66"/>
    </row>
    <row r="2306" spans="4:4">
      <c r="D2306" s="66"/>
    </row>
    <row r="2307" spans="4:4">
      <c r="D2307" s="66"/>
    </row>
    <row r="2308" spans="4:4">
      <c r="D2308" s="66"/>
    </row>
    <row r="2309" spans="4:4">
      <c r="D2309" s="66"/>
    </row>
    <row r="2310" spans="4:4">
      <c r="D2310" s="66"/>
    </row>
    <row r="2311" spans="4:4">
      <c r="D2311" s="66"/>
    </row>
    <row r="2312" spans="4:4">
      <c r="D2312" s="66"/>
    </row>
    <row r="2313" spans="4:4">
      <c r="D2313" s="66"/>
    </row>
    <row r="2314" spans="4:4">
      <c r="D2314" s="66"/>
    </row>
    <row r="2315" spans="4:4">
      <c r="D2315" s="66"/>
    </row>
    <row r="2316" spans="4:4">
      <c r="D2316" s="66"/>
    </row>
    <row r="2317" spans="4:4">
      <c r="D2317" s="66"/>
    </row>
    <row r="2318" spans="4:4">
      <c r="D2318" s="66"/>
    </row>
    <row r="2319" spans="4:4">
      <c r="D2319" s="66"/>
    </row>
    <row r="2320" spans="4:4">
      <c r="D2320" s="66"/>
    </row>
    <row r="2321" spans="4:4">
      <c r="D2321" s="66"/>
    </row>
    <row r="2322" spans="4:4">
      <c r="D2322" s="66"/>
    </row>
    <row r="2323" spans="4:4">
      <c r="D2323" s="66"/>
    </row>
    <row r="2324" spans="4:4">
      <c r="D2324" s="66"/>
    </row>
    <row r="2325" spans="4:4">
      <c r="D2325" s="66"/>
    </row>
    <row r="2326" spans="4:4">
      <c r="D2326" s="66"/>
    </row>
    <row r="2327" spans="4:4">
      <c r="D2327" s="66"/>
    </row>
    <row r="2328" spans="4:4">
      <c r="D2328" s="66"/>
    </row>
    <row r="2329" spans="4:4">
      <c r="D2329" s="66"/>
    </row>
    <row r="2330" spans="4:4">
      <c r="D2330" s="66"/>
    </row>
    <row r="2331" spans="4:4">
      <c r="D2331" s="66"/>
    </row>
    <row r="2332" spans="4:4">
      <c r="D2332" s="66"/>
    </row>
    <row r="2333" spans="4:4">
      <c r="D2333" s="66"/>
    </row>
    <row r="2334" spans="4:4">
      <c r="D2334" s="66"/>
    </row>
    <row r="2335" spans="4:4">
      <c r="D2335" s="66"/>
    </row>
    <row r="2336" spans="4:4">
      <c r="D2336" s="66"/>
    </row>
    <row r="2337" spans="4:4">
      <c r="D2337" s="66"/>
    </row>
    <row r="2338" spans="4:4">
      <c r="D2338" s="66"/>
    </row>
    <row r="2339" spans="4:4">
      <c r="D2339" s="66"/>
    </row>
    <row r="2340" spans="4:4">
      <c r="D2340" s="66"/>
    </row>
    <row r="2341" spans="4:4">
      <c r="D2341" s="66"/>
    </row>
    <row r="2342" spans="4:4">
      <c r="D2342" s="66"/>
    </row>
    <row r="2343" spans="4:4">
      <c r="D2343" s="66"/>
    </row>
    <row r="2344" spans="4:4">
      <c r="D2344" s="66"/>
    </row>
    <row r="2345" spans="4:4">
      <c r="D2345" s="66"/>
    </row>
    <row r="2346" spans="4:4">
      <c r="D2346" s="66"/>
    </row>
    <row r="2347" spans="4:4">
      <c r="D2347" s="66"/>
    </row>
    <row r="2348" spans="4:4">
      <c r="D2348" s="66"/>
    </row>
    <row r="2349" spans="4:4">
      <c r="D2349" s="66"/>
    </row>
    <row r="2350" spans="4:4">
      <c r="D2350" s="66"/>
    </row>
    <row r="2351" spans="4:4">
      <c r="D2351" s="66"/>
    </row>
    <row r="2352" spans="4:4">
      <c r="D2352" s="66"/>
    </row>
    <row r="2353" spans="4:4">
      <c r="D2353" s="66"/>
    </row>
    <row r="2354" spans="4:4">
      <c r="D2354" s="66"/>
    </row>
    <row r="2355" spans="4:4">
      <c r="D2355" s="66"/>
    </row>
    <row r="2356" spans="4:4">
      <c r="D2356" s="66"/>
    </row>
    <row r="2357" spans="4:4">
      <c r="D2357" s="66"/>
    </row>
    <row r="2358" spans="4:4">
      <c r="D2358" s="66"/>
    </row>
    <row r="2359" spans="4:4">
      <c r="D2359" s="66"/>
    </row>
    <row r="2360" spans="4:4">
      <c r="D2360" s="66"/>
    </row>
    <row r="2361" spans="4:4">
      <c r="D2361" s="66"/>
    </row>
    <row r="2362" spans="4:4">
      <c r="D2362" s="66"/>
    </row>
    <row r="2363" spans="4:4">
      <c r="D2363" s="66"/>
    </row>
    <row r="2364" spans="4:4">
      <c r="D2364" s="66"/>
    </row>
    <row r="2365" spans="4:4">
      <c r="D2365" s="66"/>
    </row>
    <row r="2366" spans="4:4">
      <c r="D2366" s="66"/>
    </row>
    <row r="2367" spans="4:4">
      <c r="D2367" s="66"/>
    </row>
    <row r="2368" spans="4:4">
      <c r="D2368" s="66"/>
    </row>
    <row r="2369" spans="4:4">
      <c r="D2369" s="66"/>
    </row>
    <row r="2370" spans="4:4">
      <c r="D2370" s="66"/>
    </row>
    <row r="2371" spans="4:4">
      <c r="D2371" s="66"/>
    </row>
    <row r="2372" spans="4:4">
      <c r="D2372" s="66"/>
    </row>
    <row r="2373" spans="4:4">
      <c r="D2373" s="66"/>
    </row>
    <row r="2374" spans="4:4">
      <c r="D2374" s="66"/>
    </row>
    <row r="2375" spans="4:4">
      <c r="D2375" s="66"/>
    </row>
    <row r="2376" spans="4:4">
      <c r="D2376" s="66"/>
    </row>
    <row r="2377" spans="4:4">
      <c r="D2377" s="66"/>
    </row>
    <row r="2378" spans="4:4">
      <c r="D2378" s="66"/>
    </row>
    <row r="2379" spans="4:4">
      <c r="D2379" s="66"/>
    </row>
    <row r="2380" spans="4:4">
      <c r="D2380" s="66"/>
    </row>
    <row r="2381" spans="4:4">
      <c r="D2381" s="66"/>
    </row>
    <row r="2382" spans="4:4">
      <c r="D2382" s="66"/>
    </row>
    <row r="2383" spans="4:4">
      <c r="D2383" s="66"/>
    </row>
    <row r="2384" spans="4:4">
      <c r="D2384" s="66"/>
    </row>
    <row r="2385" spans="4:4">
      <c r="D2385" s="66"/>
    </row>
    <row r="2386" spans="4:4">
      <c r="D2386" s="66"/>
    </row>
    <row r="2387" spans="4:4">
      <c r="D2387" s="66"/>
    </row>
    <row r="2388" spans="4:4">
      <c r="D2388" s="66"/>
    </row>
    <row r="2389" spans="4:4">
      <c r="D2389" s="66"/>
    </row>
    <row r="2390" spans="4:4">
      <c r="D2390" s="66"/>
    </row>
    <row r="2391" spans="4:4">
      <c r="D2391" s="66"/>
    </row>
    <row r="2392" spans="4:4">
      <c r="D2392" s="66"/>
    </row>
    <row r="2393" spans="4:4">
      <c r="D2393" s="66"/>
    </row>
    <row r="2394" spans="4:4">
      <c r="D2394" s="66"/>
    </row>
    <row r="2395" spans="4:4">
      <c r="D2395" s="66"/>
    </row>
    <row r="2396" spans="4:4">
      <c r="D2396" s="66"/>
    </row>
    <row r="2397" spans="4:4">
      <c r="D2397" s="66"/>
    </row>
    <row r="2398" spans="4:4">
      <c r="D2398" s="66"/>
    </row>
    <row r="2399" spans="4:4">
      <c r="D2399" s="66"/>
    </row>
    <row r="2400" spans="4:4">
      <c r="D2400" s="66"/>
    </row>
    <row r="2401" spans="4:4">
      <c r="D2401" s="66"/>
    </row>
    <row r="2402" spans="4:4">
      <c r="D2402" s="66"/>
    </row>
    <row r="2403" spans="4:4">
      <c r="D2403" s="66"/>
    </row>
    <row r="2404" spans="4:4">
      <c r="D2404" s="66"/>
    </row>
    <row r="2405" spans="4:4">
      <c r="D2405" s="66"/>
    </row>
    <row r="2406" spans="4:4">
      <c r="D2406" s="66"/>
    </row>
    <row r="2407" spans="4:4">
      <c r="D2407" s="66"/>
    </row>
    <row r="2408" spans="4:4">
      <c r="D2408" s="66"/>
    </row>
    <row r="2409" spans="4:4">
      <c r="D2409" s="66"/>
    </row>
    <row r="2410" spans="4:4">
      <c r="D2410" s="66"/>
    </row>
    <row r="2411" spans="4:4">
      <c r="D2411" s="66"/>
    </row>
    <row r="2412" spans="4:4">
      <c r="D2412" s="66"/>
    </row>
    <row r="2413" spans="4:4">
      <c r="D2413" s="66"/>
    </row>
    <row r="2414" spans="4:4">
      <c r="D2414" s="66"/>
    </row>
    <row r="2415" spans="4:4">
      <c r="D2415" s="66"/>
    </row>
    <row r="2416" spans="4:4">
      <c r="D2416" s="66"/>
    </row>
    <row r="2417" spans="4:4">
      <c r="D2417" s="66"/>
    </row>
    <row r="2418" spans="4:4">
      <c r="D2418" s="66"/>
    </row>
    <row r="2419" spans="4:4">
      <c r="D2419" s="66"/>
    </row>
    <row r="2420" spans="4:4">
      <c r="D2420" s="66"/>
    </row>
    <row r="2421" spans="4:4">
      <c r="D2421" s="66"/>
    </row>
    <row r="2422" spans="4:4">
      <c r="D2422" s="66"/>
    </row>
    <row r="2423" spans="4:4">
      <c r="D2423" s="66"/>
    </row>
    <row r="2424" spans="4:4">
      <c r="D2424" s="66"/>
    </row>
    <row r="2425" spans="4:4">
      <c r="D2425" s="66"/>
    </row>
    <row r="2426" spans="4:4">
      <c r="D2426" s="66"/>
    </row>
    <row r="2427" spans="4:4">
      <c r="D2427" s="66"/>
    </row>
    <row r="2428" spans="4:4">
      <c r="D2428" s="66"/>
    </row>
    <row r="2429" spans="4:4">
      <c r="D2429" s="66"/>
    </row>
    <row r="2430" spans="4:4">
      <c r="D2430" s="66"/>
    </row>
    <row r="2431" spans="4:4">
      <c r="D2431" s="66"/>
    </row>
    <row r="2432" spans="4:4">
      <c r="D2432" s="66"/>
    </row>
    <row r="2433" spans="4:4">
      <c r="D2433" s="66"/>
    </row>
    <row r="2434" spans="4:4">
      <c r="D2434" s="66"/>
    </row>
    <row r="2435" spans="4:4">
      <c r="D2435" s="66"/>
    </row>
    <row r="2436" spans="4:4">
      <c r="D2436" s="66"/>
    </row>
    <row r="2437" spans="4:4">
      <c r="D2437" s="66"/>
    </row>
    <row r="2438" spans="4:4">
      <c r="D2438" s="66"/>
    </row>
    <row r="2439" spans="4:4">
      <c r="D2439" s="66"/>
    </row>
    <row r="2440" spans="4:4">
      <c r="D2440" s="66"/>
    </row>
    <row r="2441" spans="4:4">
      <c r="D2441" s="66"/>
    </row>
    <row r="2442" spans="4:4">
      <c r="D2442" s="66"/>
    </row>
    <row r="2443" spans="4:4">
      <c r="D2443" s="66"/>
    </row>
    <row r="2444" spans="4:4">
      <c r="D2444" s="66"/>
    </row>
    <row r="2445" spans="4:4">
      <c r="D2445" s="66"/>
    </row>
    <row r="2446" spans="4:4">
      <c r="D2446" s="66"/>
    </row>
    <row r="2447" spans="4:4">
      <c r="D2447" s="66"/>
    </row>
    <row r="2448" spans="4:4">
      <c r="D2448" s="66"/>
    </row>
    <row r="2449" spans="4:4">
      <c r="D2449" s="66"/>
    </row>
    <row r="2450" spans="4:4">
      <c r="D2450" s="66"/>
    </row>
    <row r="2451" spans="4:4">
      <c r="D2451" s="66"/>
    </row>
    <row r="2452" spans="4:4">
      <c r="D2452" s="66"/>
    </row>
    <row r="2453" spans="4:4">
      <c r="D2453" s="66"/>
    </row>
    <row r="2454" spans="4:4">
      <c r="D2454" s="66"/>
    </row>
    <row r="2455" spans="4:4">
      <c r="D2455" s="66"/>
    </row>
    <row r="2456" spans="4:4">
      <c r="D2456" s="66"/>
    </row>
    <row r="2457" spans="4:4">
      <c r="D2457" s="66"/>
    </row>
    <row r="2458" spans="4:4">
      <c r="D2458" s="66"/>
    </row>
    <row r="2459" spans="4:4">
      <c r="D2459" s="66"/>
    </row>
    <row r="2460" spans="4:4">
      <c r="D2460" s="66"/>
    </row>
    <row r="2461" spans="4:4">
      <c r="D2461" s="66"/>
    </row>
    <row r="2462" spans="4:4">
      <c r="D2462" s="66"/>
    </row>
    <row r="2463" spans="4:4">
      <c r="D2463" s="66"/>
    </row>
    <row r="2464" spans="4:4">
      <c r="D2464" s="66"/>
    </row>
    <row r="2465" spans="4:4">
      <c r="D2465" s="66"/>
    </row>
    <row r="2466" spans="4:4">
      <c r="D2466" s="66"/>
    </row>
    <row r="2467" spans="4:4">
      <c r="D2467" s="66"/>
    </row>
    <row r="2468" spans="4:4">
      <c r="D2468" s="66"/>
    </row>
    <row r="2469" spans="4:4">
      <c r="D2469" s="66"/>
    </row>
    <row r="2470" spans="4:4">
      <c r="D2470" s="66"/>
    </row>
    <row r="2471" spans="4:4">
      <c r="D2471" s="66"/>
    </row>
    <row r="2472" spans="4:4">
      <c r="D2472" s="66"/>
    </row>
    <row r="2473" spans="4:4">
      <c r="D2473" s="66"/>
    </row>
    <row r="2474" spans="4:4">
      <c r="D2474" s="66"/>
    </row>
    <row r="2475" spans="4:4">
      <c r="D2475" s="66"/>
    </row>
    <row r="2476" spans="4:4">
      <c r="D2476" s="66"/>
    </row>
    <row r="2477" spans="4:4">
      <c r="D2477" s="66"/>
    </row>
    <row r="2478" spans="4:4">
      <c r="D2478" s="66"/>
    </row>
    <row r="2479" spans="4:4">
      <c r="D2479" s="66"/>
    </row>
    <row r="2480" spans="4:4">
      <c r="D2480" s="66"/>
    </row>
    <row r="2481" spans="4:4">
      <c r="D2481" s="66"/>
    </row>
    <row r="2482" spans="4:4">
      <c r="D2482" s="66"/>
    </row>
    <row r="2483" spans="4:4">
      <c r="D2483" s="66"/>
    </row>
    <row r="2484" spans="4:4">
      <c r="D2484" s="66"/>
    </row>
    <row r="2485" spans="4:4">
      <c r="D2485" s="66"/>
    </row>
    <row r="2486" spans="4:4">
      <c r="D2486" s="66"/>
    </row>
    <row r="2487" spans="4:4">
      <c r="D2487" s="66"/>
    </row>
    <row r="2488" spans="4:4">
      <c r="D2488" s="66"/>
    </row>
    <row r="2489" spans="4:4">
      <c r="D2489" s="66"/>
    </row>
    <row r="2490" spans="4:4">
      <c r="D2490" s="66"/>
    </row>
    <row r="2491" spans="4:4">
      <c r="D2491" s="66"/>
    </row>
    <row r="2492" spans="4:4">
      <c r="D2492" s="66"/>
    </row>
    <row r="2493" spans="4:4">
      <c r="D2493" s="66"/>
    </row>
    <row r="2494" spans="4:4">
      <c r="D2494" s="66"/>
    </row>
    <row r="2495" spans="4:4">
      <c r="D2495" s="66"/>
    </row>
    <row r="2496" spans="4:4">
      <c r="D2496" s="66"/>
    </row>
    <row r="2497" spans="4:4">
      <c r="D2497" s="66"/>
    </row>
    <row r="2498" spans="4:4">
      <c r="D2498" s="66"/>
    </row>
    <row r="2499" spans="4:4">
      <c r="D2499" s="66"/>
    </row>
    <row r="2500" spans="4:4">
      <c r="D2500" s="66"/>
    </row>
    <row r="2501" spans="4:4">
      <c r="D2501" s="66"/>
    </row>
    <row r="2502" spans="4:4">
      <c r="D2502" s="66"/>
    </row>
    <row r="2503" spans="4:4">
      <c r="D2503" s="66"/>
    </row>
    <row r="2504" spans="4:4">
      <c r="D2504" s="66"/>
    </row>
    <row r="2505" spans="4:4">
      <c r="D2505" s="66"/>
    </row>
    <row r="2506" spans="4:4">
      <c r="D2506" s="66"/>
    </row>
    <row r="2507" spans="4:4">
      <c r="D2507" s="66"/>
    </row>
    <row r="2508" spans="4:4">
      <c r="D2508" s="66"/>
    </row>
    <row r="2509" spans="4:4">
      <c r="D2509" s="66"/>
    </row>
    <row r="2510" spans="4:4">
      <c r="D2510" s="66"/>
    </row>
    <row r="2511" spans="4:4">
      <c r="D2511" s="66"/>
    </row>
    <row r="2512" spans="4:4">
      <c r="D2512" s="66"/>
    </row>
    <row r="2513" spans="4:4">
      <c r="D2513" s="66"/>
    </row>
    <row r="2514" spans="4:4">
      <c r="D2514" s="66"/>
    </row>
    <row r="2515" spans="4:4">
      <c r="D2515" s="66"/>
    </row>
    <row r="2516" spans="4:4">
      <c r="D2516" s="66"/>
    </row>
    <row r="2517" spans="4:4">
      <c r="D2517" s="66"/>
    </row>
    <row r="2518" spans="4:4">
      <c r="D2518" s="66"/>
    </row>
    <row r="2519" spans="4:4">
      <c r="D2519" s="66"/>
    </row>
    <row r="2520" spans="4:4">
      <c r="D2520" s="66"/>
    </row>
    <row r="2521" spans="4:4">
      <c r="D2521" s="66"/>
    </row>
    <row r="2522" spans="4:4">
      <c r="D2522" s="66"/>
    </row>
    <row r="2523" spans="4:4">
      <c r="D2523" s="66"/>
    </row>
    <row r="2524" spans="4:4">
      <c r="D2524" s="66"/>
    </row>
    <row r="2525" spans="4:4">
      <c r="D2525" s="66"/>
    </row>
    <row r="2526" spans="4:4">
      <c r="D2526" s="66"/>
    </row>
    <row r="2527" spans="4:4">
      <c r="D2527" s="66"/>
    </row>
    <row r="2528" spans="4:4">
      <c r="D2528" s="66"/>
    </row>
    <row r="2529" spans="4:4">
      <c r="D2529" s="66"/>
    </row>
    <row r="2530" spans="4:4">
      <c r="D2530" s="66"/>
    </row>
    <row r="2531" spans="4:4">
      <c r="D2531" s="66"/>
    </row>
    <row r="2532" spans="4:4">
      <c r="D2532" s="66"/>
    </row>
    <row r="2533" spans="4:4">
      <c r="D2533" s="66"/>
    </row>
    <row r="2534" spans="4:4">
      <c r="D2534" s="66"/>
    </row>
    <row r="2535" spans="4:4">
      <c r="D2535" s="66"/>
    </row>
    <row r="2536" spans="4:4">
      <c r="D2536" s="66"/>
    </row>
    <row r="2537" spans="4:4">
      <c r="D2537" s="66"/>
    </row>
    <row r="2538" spans="4:4">
      <c r="D2538" s="66"/>
    </row>
    <row r="2539" spans="4:4">
      <c r="D2539" s="66"/>
    </row>
    <row r="2540" spans="4:4">
      <c r="D2540" s="66"/>
    </row>
    <row r="2541" spans="4:4">
      <c r="D2541" s="66"/>
    </row>
    <row r="2542" spans="4:4">
      <c r="D2542" s="66"/>
    </row>
    <row r="2543" spans="4:4">
      <c r="D2543" s="66"/>
    </row>
    <row r="2544" spans="4:4">
      <c r="D2544" s="66"/>
    </row>
    <row r="2545" spans="4:4">
      <c r="D2545" s="66"/>
    </row>
    <row r="2546" spans="4:4">
      <c r="D2546" s="66"/>
    </row>
    <row r="2547" spans="4:4">
      <c r="D2547" s="66"/>
    </row>
    <row r="2548" spans="4:4">
      <c r="D2548" s="66"/>
    </row>
    <row r="2549" spans="4:4">
      <c r="D2549" s="66"/>
    </row>
    <row r="2550" spans="4:4">
      <c r="D2550" s="66"/>
    </row>
    <row r="2551" spans="4:4">
      <c r="D2551" s="66"/>
    </row>
    <row r="2552" spans="4:4">
      <c r="D2552" s="66"/>
    </row>
    <row r="2553" spans="4:4">
      <c r="D2553" s="66"/>
    </row>
    <row r="2554" spans="4:4">
      <c r="D2554" s="66"/>
    </row>
    <row r="2555" spans="4:4">
      <c r="D2555" s="66"/>
    </row>
    <row r="2556" spans="4:4">
      <c r="D2556" s="66"/>
    </row>
    <row r="2557" spans="4:4">
      <c r="D2557" s="66"/>
    </row>
    <row r="2558" spans="4:4">
      <c r="D2558" s="66"/>
    </row>
    <row r="2559" spans="4:4">
      <c r="D2559" s="66"/>
    </row>
    <row r="2560" spans="4:4">
      <c r="D2560" s="66"/>
    </row>
    <row r="2561" spans="4:4">
      <c r="D2561" s="66"/>
    </row>
    <row r="2562" spans="4:4">
      <c r="D2562" s="66"/>
    </row>
    <row r="2563" spans="4:4">
      <c r="D2563" s="66"/>
    </row>
    <row r="2564" spans="4:4">
      <c r="D2564" s="66"/>
    </row>
    <row r="2565" spans="4:4">
      <c r="D2565" s="66"/>
    </row>
    <row r="2566" spans="4:4">
      <c r="D2566" s="66"/>
    </row>
    <row r="2567" spans="4:4">
      <c r="D2567" s="66"/>
    </row>
    <row r="2568" spans="4:4">
      <c r="D2568" s="66"/>
    </row>
    <row r="2569" spans="4:4">
      <c r="D2569" s="66"/>
    </row>
    <row r="2570" spans="4:4">
      <c r="D2570" s="66"/>
    </row>
    <row r="2571" spans="4:4">
      <c r="D2571" s="66"/>
    </row>
    <row r="2572" spans="4:4">
      <c r="D2572" s="66"/>
    </row>
    <row r="2573" spans="4:4">
      <c r="D2573" s="66"/>
    </row>
    <row r="2574" spans="4:4">
      <c r="D2574" s="66"/>
    </row>
    <row r="2575" spans="4:4">
      <c r="D2575" s="66"/>
    </row>
    <row r="2576" spans="4:4">
      <c r="D2576" s="66"/>
    </row>
    <row r="2577" spans="4:4">
      <c r="D2577" s="66"/>
    </row>
    <row r="2578" spans="4:4">
      <c r="D2578" s="66"/>
    </row>
    <row r="2579" spans="4:4">
      <c r="D2579" s="66"/>
    </row>
    <row r="2580" spans="4:4">
      <c r="D2580" s="66"/>
    </row>
    <row r="2581" spans="4:4">
      <c r="D2581" s="66"/>
    </row>
    <row r="2582" spans="4:4">
      <c r="D2582" s="66"/>
    </row>
    <row r="2583" spans="4:4">
      <c r="D2583" s="66"/>
    </row>
    <row r="2584" spans="4:4">
      <c r="D2584" s="66"/>
    </row>
    <row r="2585" spans="4:4">
      <c r="D2585" s="66"/>
    </row>
    <row r="2586" spans="4:4">
      <c r="D2586" s="66"/>
    </row>
    <row r="2587" spans="4:4">
      <c r="D2587" s="66"/>
    </row>
    <row r="2588" spans="4:4">
      <c r="D2588" s="66"/>
    </row>
    <row r="2589" spans="4:4">
      <c r="D2589" s="66"/>
    </row>
    <row r="2590" spans="4:4">
      <c r="D2590" s="66"/>
    </row>
    <row r="2591" spans="4:4">
      <c r="D2591" s="66"/>
    </row>
    <row r="2592" spans="4:4">
      <c r="D2592" s="66"/>
    </row>
    <row r="2593" spans="4:4">
      <c r="D2593" s="66"/>
    </row>
    <row r="2594" spans="4:4">
      <c r="D2594" s="66"/>
    </row>
    <row r="2595" spans="4:4">
      <c r="D2595" s="66"/>
    </row>
    <row r="2596" spans="4:4">
      <c r="D2596" s="66"/>
    </row>
    <row r="2597" spans="4:4">
      <c r="D2597" s="66"/>
    </row>
    <row r="2598" spans="4:4">
      <c r="D2598" s="66"/>
    </row>
    <row r="2599" spans="4:4">
      <c r="D2599" s="66"/>
    </row>
    <row r="2600" spans="4:4">
      <c r="D2600" s="66"/>
    </row>
    <row r="2601" spans="4:4">
      <c r="D2601" s="66"/>
    </row>
    <row r="2602" spans="4:4">
      <c r="D2602" s="66"/>
    </row>
    <row r="2603" spans="4:4">
      <c r="D2603" s="66"/>
    </row>
    <row r="2604" spans="4:4">
      <c r="D2604" s="66"/>
    </row>
    <row r="2605" spans="4:4">
      <c r="D2605" s="66"/>
    </row>
    <row r="2606" spans="4:4">
      <c r="D2606" s="66"/>
    </row>
    <row r="2607" spans="4:4">
      <c r="D2607" s="66"/>
    </row>
    <row r="2608" spans="4:4">
      <c r="D2608" s="66"/>
    </row>
    <row r="2609" spans="4:4">
      <c r="D2609" s="66"/>
    </row>
    <row r="2610" spans="4:4">
      <c r="D2610" s="66"/>
    </row>
    <row r="2611" spans="4:4">
      <c r="D2611" s="66"/>
    </row>
    <row r="2612" spans="4:4">
      <c r="D2612" s="66"/>
    </row>
    <row r="2613" spans="4:4">
      <c r="D2613" s="66"/>
    </row>
    <row r="2614" spans="4:4">
      <c r="D2614" s="66"/>
    </row>
    <row r="2615" spans="4:4">
      <c r="D2615" s="66"/>
    </row>
    <row r="2616" spans="4:4">
      <c r="D2616" s="66"/>
    </row>
    <row r="2617" spans="4:4">
      <c r="D2617" s="66"/>
    </row>
    <row r="2618" spans="4:4">
      <c r="D2618" s="66"/>
    </row>
    <row r="2619" spans="4:4">
      <c r="D2619" s="66"/>
    </row>
    <row r="2620" spans="4:4">
      <c r="D2620" s="66"/>
    </row>
    <row r="2621" spans="4:4">
      <c r="D2621" s="66"/>
    </row>
    <row r="2622" spans="4:4">
      <c r="D2622" s="66"/>
    </row>
    <row r="2623" spans="4:4">
      <c r="D2623" s="66"/>
    </row>
    <row r="2624" spans="4:4">
      <c r="D2624" s="66"/>
    </row>
    <row r="2625" spans="4:4">
      <c r="D2625" s="66"/>
    </row>
    <row r="2626" spans="4:4">
      <c r="D2626" s="66"/>
    </row>
    <row r="2627" spans="4:4">
      <c r="D2627" s="66"/>
    </row>
    <row r="2628" spans="4:4">
      <c r="D2628" s="66"/>
    </row>
    <row r="2629" spans="4:4">
      <c r="D2629" s="66"/>
    </row>
    <row r="2630" spans="4:4">
      <c r="D2630" s="66"/>
    </row>
    <row r="2631" spans="4:4">
      <c r="D2631" s="66"/>
    </row>
    <row r="2632" spans="4:4">
      <c r="D2632" s="66"/>
    </row>
    <row r="2633" spans="4:4">
      <c r="D2633" s="66"/>
    </row>
    <row r="2634" spans="4:4">
      <c r="D2634" s="66"/>
    </row>
    <row r="2635" spans="4:4">
      <c r="D2635" s="66"/>
    </row>
    <row r="2636" spans="4:4">
      <c r="D2636" s="66"/>
    </row>
    <row r="2637" spans="4:4">
      <c r="D2637" s="66"/>
    </row>
    <row r="2638" spans="4:4">
      <c r="D2638" s="66"/>
    </row>
    <row r="2639" spans="4:4">
      <c r="D2639" s="66"/>
    </row>
    <row r="2640" spans="4:4">
      <c r="D2640" s="66"/>
    </row>
    <row r="2641" spans="4:4">
      <c r="D2641" s="66"/>
    </row>
    <row r="2642" spans="4:4">
      <c r="D2642" s="66"/>
    </row>
    <row r="2643" spans="4:4">
      <c r="D2643" s="66"/>
    </row>
    <row r="2644" spans="4:4">
      <c r="D2644" s="66"/>
    </row>
    <row r="2645" spans="4:4">
      <c r="D2645" s="66"/>
    </row>
    <row r="2646" spans="4:4">
      <c r="D2646" s="66"/>
    </row>
    <row r="2647" spans="4:4">
      <c r="D2647" s="66"/>
    </row>
    <row r="2648" spans="4:4">
      <c r="D2648" s="66"/>
    </row>
    <row r="2649" spans="4:4">
      <c r="D2649" s="66"/>
    </row>
    <row r="2650" spans="4:4">
      <c r="D2650" s="66"/>
    </row>
    <row r="2651" spans="4:4">
      <c r="D2651" s="66"/>
    </row>
    <row r="2652" spans="4:4">
      <c r="D2652" s="66"/>
    </row>
    <row r="2653" spans="4:4">
      <c r="D2653" s="66"/>
    </row>
    <row r="2654" spans="4:4">
      <c r="D2654" s="66"/>
    </row>
    <row r="2655" spans="4:4">
      <c r="D2655" s="66"/>
    </row>
    <row r="2656" spans="4:4">
      <c r="D2656" s="66"/>
    </row>
    <row r="2657" spans="4:4">
      <c r="D2657" s="66"/>
    </row>
    <row r="2658" spans="4:4">
      <c r="D2658" s="66"/>
    </row>
    <row r="2659" spans="4:4">
      <c r="D2659" s="66"/>
    </row>
    <row r="2660" spans="4:4">
      <c r="D2660" s="66"/>
    </row>
    <row r="2661" spans="4:4">
      <c r="D2661" s="66"/>
    </row>
    <row r="2662" spans="4:4">
      <c r="D2662" s="66"/>
    </row>
    <row r="2663" spans="4:4">
      <c r="D2663" s="66"/>
    </row>
    <row r="2664" spans="4:4">
      <c r="D2664" s="66"/>
    </row>
    <row r="2665" spans="4:4">
      <c r="D2665" s="66"/>
    </row>
    <row r="2666" spans="4:4">
      <c r="D2666" s="66"/>
    </row>
    <row r="2667" spans="4:4">
      <c r="D2667" s="66"/>
    </row>
    <row r="2668" spans="4:4">
      <c r="D2668" s="66"/>
    </row>
    <row r="2669" spans="4:4">
      <c r="D2669" s="66"/>
    </row>
    <row r="2670" spans="4:4">
      <c r="D2670" s="66"/>
    </row>
    <row r="2671" spans="4:4">
      <c r="D2671" s="66"/>
    </row>
    <row r="2672" spans="4:4">
      <c r="D2672" s="66"/>
    </row>
    <row r="2673" spans="4:4">
      <c r="D2673" s="66"/>
    </row>
    <row r="2674" spans="4:4">
      <c r="D2674" s="66"/>
    </row>
    <row r="2675" spans="4:4">
      <c r="D2675" s="66"/>
    </row>
    <row r="2676" spans="4:4">
      <c r="D2676" s="66"/>
    </row>
    <row r="2677" spans="4:4">
      <c r="D2677" s="66"/>
    </row>
    <row r="2678" spans="4:4">
      <c r="D2678" s="66"/>
    </row>
    <row r="2679" spans="4:4">
      <c r="D2679" s="66"/>
    </row>
    <row r="2680" spans="4:4">
      <c r="D2680" s="66"/>
    </row>
    <row r="2681" spans="4:4">
      <c r="D2681" s="66"/>
    </row>
    <row r="2682" spans="4:4">
      <c r="D2682" s="66"/>
    </row>
    <row r="2683" spans="4:4">
      <c r="D2683" s="66"/>
    </row>
    <row r="2684" spans="4:4">
      <c r="D2684" s="66"/>
    </row>
    <row r="2685" spans="4:4">
      <c r="D2685" s="66"/>
    </row>
    <row r="2686" spans="4:4">
      <c r="D2686" s="66"/>
    </row>
    <row r="2687" spans="4:4">
      <c r="D2687" s="66"/>
    </row>
    <row r="2688" spans="4:4">
      <c r="D2688" s="66"/>
    </row>
    <row r="2689" spans="4:4">
      <c r="D2689" s="66"/>
    </row>
    <row r="2690" spans="4:4">
      <c r="D2690" s="66"/>
    </row>
    <row r="2691" spans="4:4">
      <c r="D2691" s="66"/>
    </row>
    <row r="2692" spans="4:4">
      <c r="D2692" s="66"/>
    </row>
    <row r="2693" spans="4:4">
      <c r="D2693" s="66"/>
    </row>
    <row r="2694" spans="4:4">
      <c r="D2694" s="66"/>
    </row>
    <row r="2695" spans="4:4">
      <c r="D2695" s="66"/>
    </row>
    <row r="2696" spans="4:4">
      <c r="D2696" s="66"/>
    </row>
    <row r="2697" spans="4:4">
      <c r="D2697" s="66"/>
    </row>
    <row r="2698" spans="4:4">
      <c r="D2698" s="66"/>
    </row>
    <row r="2699" spans="4:4">
      <c r="D2699" s="66"/>
    </row>
    <row r="2700" spans="4:4">
      <c r="D2700" s="66"/>
    </row>
    <row r="2701" spans="4:4">
      <c r="D2701" s="66"/>
    </row>
    <row r="2702" spans="4:4">
      <c r="D2702" s="66"/>
    </row>
    <row r="2703" spans="4:4">
      <c r="D2703" s="66"/>
    </row>
    <row r="2704" spans="4:4">
      <c r="D2704" s="66"/>
    </row>
    <row r="2705" spans="4:4">
      <c r="D2705" s="66"/>
    </row>
    <row r="2706" spans="4:4">
      <c r="D2706" s="66"/>
    </row>
    <row r="2707" spans="4:4">
      <c r="D2707" s="66"/>
    </row>
    <row r="2708" spans="4:4">
      <c r="D2708" s="66"/>
    </row>
    <row r="2709" spans="4:4">
      <c r="D2709" s="66"/>
    </row>
    <row r="2710" spans="4:4">
      <c r="D2710" s="66"/>
    </row>
    <row r="2711" spans="4:4">
      <c r="D2711" s="66"/>
    </row>
    <row r="2712" spans="4:4">
      <c r="D2712" s="66"/>
    </row>
    <row r="2713" spans="4:4">
      <c r="D2713" s="66"/>
    </row>
    <row r="2714" spans="4:4">
      <c r="D2714" s="66"/>
    </row>
    <row r="2715" spans="4:4">
      <c r="D2715" s="66"/>
    </row>
    <row r="2716" spans="4:4">
      <c r="D2716" s="66"/>
    </row>
    <row r="2717" spans="4:4">
      <c r="D2717" s="66"/>
    </row>
    <row r="2718" spans="4:4">
      <c r="D2718" s="66"/>
    </row>
    <row r="2719" spans="4:4">
      <c r="D2719" s="66"/>
    </row>
    <row r="2720" spans="4:4">
      <c r="D2720" s="66"/>
    </row>
    <row r="2721" spans="4:4">
      <c r="D2721" s="66"/>
    </row>
    <row r="2722" spans="4:4">
      <c r="D2722" s="66"/>
    </row>
    <row r="2723" spans="4:4">
      <c r="D2723" s="66"/>
    </row>
    <row r="2724" spans="4:4">
      <c r="D2724" s="66"/>
    </row>
    <row r="2725" spans="4:4">
      <c r="D2725" s="66"/>
    </row>
    <row r="2726" spans="4:4">
      <c r="D2726" s="66"/>
    </row>
    <row r="2727" spans="4:4">
      <c r="D2727" s="66"/>
    </row>
    <row r="2728" spans="4:4">
      <c r="D2728" s="66"/>
    </row>
    <row r="2729" spans="4:4">
      <c r="D2729" s="66"/>
    </row>
    <row r="2730" spans="4:4">
      <c r="D2730" s="66"/>
    </row>
    <row r="2731" spans="4:4">
      <c r="D2731" s="66"/>
    </row>
    <row r="2732" spans="4:4">
      <c r="D2732" s="66"/>
    </row>
    <row r="2733" spans="4:4">
      <c r="D2733" s="66"/>
    </row>
    <row r="2734" spans="4:4">
      <c r="D2734" s="66"/>
    </row>
    <row r="2735" spans="4:4">
      <c r="D2735" s="66"/>
    </row>
    <row r="2736" spans="4:4">
      <c r="D2736" s="66"/>
    </row>
    <row r="2737" spans="4:4">
      <c r="D2737" s="66"/>
    </row>
    <row r="2738" spans="4:4">
      <c r="D2738" s="66"/>
    </row>
    <row r="2739" spans="4:4">
      <c r="D2739" s="66"/>
    </row>
    <row r="2740" spans="4:4">
      <c r="D2740" s="66"/>
    </row>
    <row r="2741" spans="4:4">
      <c r="D2741" s="66"/>
    </row>
    <row r="2742" spans="4:4">
      <c r="D2742" s="66"/>
    </row>
    <row r="2743" spans="4:4">
      <c r="D2743" s="66"/>
    </row>
    <row r="2744" spans="4:4">
      <c r="D2744" s="66"/>
    </row>
    <row r="2745" spans="4:4">
      <c r="D2745" s="66"/>
    </row>
    <row r="2746" spans="4:4">
      <c r="D2746" s="66"/>
    </row>
    <row r="2747" spans="4:4">
      <c r="D2747" s="66"/>
    </row>
    <row r="2748" spans="4:4">
      <c r="D2748" s="66"/>
    </row>
    <row r="2749" spans="4:4">
      <c r="D2749" s="66"/>
    </row>
    <row r="2750" spans="4:4">
      <c r="D2750" s="66"/>
    </row>
    <row r="2751" spans="4:4">
      <c r="D2751" s="66"/>
    </row>
    <row r="2752" spans="4:4">
      <c r="D2752" s="66"/>
    </row>
    <row r="2753" spans="4:4">
      <c r="D2753" s="66"/>
    </row>
    <row r="2754" spans="4:4">
      <c r="D2754" s="66"/>
    </row>
    <row r="2755" spans="4:4">
      <c r="D2755" s="66"/>
    </row>
    <row r="2756" spans="4:4">
      <c r="D2756" s="66"/>
    </row>
    <row r="2757" spans="4:4">
      <c r="D2757" s="66"/>
    </row>
    <row r="2758" spans="4:4">
      <c r="D2758" s="66"/>
    </row>
    <row r="2759" spans="4:4">
      <c r="D2759" s="66"/>
    </row>
    <row r="2760" spans="4:4">
      <c r="D2760" s="66"/>
    </row>
    <row r="2761" spans="4:4">
      <c r="D2761" s="66"/>
    </row>
    <row r="2762" spans="4:4">
      <c r="D2762" s="66"/>
    </row>
    <row r="2763" spans="4:4">
      <c r="D2763" s="66"/>
    </row>
    <row r="2764" spans="4:4">
      <c r="D2764" s="66"/>
    </row>
    <row r="2765" spans="4:4">
      <c r="D2765" s="66"/>
    </row>
    <row r="2766" spans="4:4">
      <c r="D2766" s="66"/>
    </row>
    <row r="2767" spans="4:4">
      <c r="D2767" s="66"/>
    </row>
    <row r="2768" spans="4:4">
      <c r="D2768" s="66"/>
    </row>
    <row r="2769" spans="4:4">
      <c r="D2769" s="66"/>
    </row>
    <row r="2770" spans="4:4">
      <c r="D2770" s="66"/>
    </row>
    <row r="2771" spans="4:4">
      <c r="D2771" s="66"/>
    </row>
    <row r="2772" spans="4:4">
      <c r="D2772" s="66"/>
    </row>
    <row r="2773" spans="4:4">
      <c r="D2773" s="66"/>
    </row>
    <row r="2774" spans="4:4">
      <c r="D2774" s="66"/>
    </row>
    <row r="2775" spans="4:4">
      <c r="D2775" s="66"/>
    </row>
    <row r="2776" spans="4:4">
      <c r="D2776" s="66"/>
    </row>
    <row r="2777" spans="4:4">
      <c r="D2777" s="66"/>
    </row>
    <row r="2778" spans="4:4">
      <c r="D2778" s="66"/>
    </row>
    <row r="2779" spans="4:4">
      <c r="D2779" s="66"/>
    </row>
    <row r="2780" spans="4:4">
      <c r="D2780" s="66"/>
    </row>
    <row r="2781" spans="4:4">
      <c r="D2781" s="66"/>
    </row>
    <row r="2782" spans="4:4">
      <c r="D2782" s="66"/>
    </row>
    <row r="2783" spans="4:4">
      <c r="D2783" s="66"/>
    </row>
    <row r="2784" spans="4:4">
      <c r="D2784" s="66"/>
    </row>
    <row r="2785" spans="4:4">
      <c r="D2785" s="66"/>
    </row>
    <row r="2786" spans="4:4">
      <c r="D2786" s="66"/>
    </row>
    <row r="2787" spans="4:4">
      <c r="D2787" s="66"/>
    </row>
    <row r="2788" spans="4:4">
      <c r="D2788" s="66"/>
    </row>
    <row r="2789" spans="4:4">
      <c r="D2789" s="66"/>
    </row>
    <row r="2790" spans="4:4">
      <c r="D2790" s="66"/>
    </row>
    <row r="2791" spans="4:4">
      <c r="D2791" s="66"/>
    </row>
    <row r="2792" spans="4:4">
      <c r="D2792" s="66"/>
    </row>
    <row r="2793" spans="4:4">
      <c r="D2793" s="66"/>
    </row>
    <row r="2794" spans="4:4">
      <c r="D2794" s="66"/>
    </row>
    <row r="2795" spans="4:4">
      <c r="D2795" s="66"/>
    </row>
    <row r="2796" spans="4:4">
      <c r="D2796" s="66"/>
    </row>
    <row r="2797" spans="4:4">
      <c r="D2797" s="66"/>
    </row>
    <row r="2798" spans="4:4">
      <c r="D2798" s="66"/>
    </row>
    <row r="2799" spans="4:4">
      <c r="D2799" s="66"/>
    </row>
    <row r="2800" spans="4:4">
      <c r="D2800" s="66"/>
    </row>
    <row r="2801" spans="4:4">
      <c r="D2801" s="66"/>
    </row>
    <row r="2802" spans="4:4">
      <c r="D2802" s="66"/>
    </row>
    <row r="2803" spans="4:4">
      <c r="D2803" s="66"/>
    </row>
    <row r="2804" spans="4:4">
      <c r="D2804" s="66"/>
    </row>
    <row r="2805" spans="4:4">
      <c r="D2805" s="66"/>
    </row>
    <row r="2806" spans="4:4">
      <c r="D2806" s="66"/>
    </row>
    <row r="2807" spans="4:4">
      <c r="D2807" s="66"/>
    </row>
    <row r="2808" spans="4:4">
      <c r="D2808" s="66"/>
    </row>
    <row r="2809" spans="4:4">
      <c r="D2809" s="66"/>
    </row>
    <row r="2810" spans="4:4">
      <c r="D2810" s="66"/>
    </row>
    <row r="2811" spans="4:4">
      <c r="D2811" s="66"/>
    </row>
    <row r="2812" spans="4:4">
      <c r="D2812" s="66"/>
    </row>
    <row r="2813" spans="4:4">
      <c r="D2813" s="66"/>
    </row>
    <row r="2814" spans="4:4">
      <c r="D2814" s="66"/>
    </row>
    <row r="2815" spans="4:4">
      <c r="D2815" s="66"/>
    </row>
    <row r="2816" spans="4:4">
      <c r="D2816" s="66"/>
    </row>
    <row r="2817" spans="4:4">
      <c r="D2817" s="66"/>
    </row>
    <row r="2818" spans="4:4">
      <c r="D2818" s="66"/>
    </row>
    <row r="2819" spans="4:4">
      <c r="D2819" s="66"/>
    </row>
    <row r="2820" spans="4:4">
      <c r="D2820" s="66"/>
    </row>
    <row r="2821" spans="4:4">
      <c r="D2821" s="66"/>
    </row>
    <row r="2822" spans="4:4">
      <c r="D2822" s="66"/>
    </row>
    <row r="2823" spans="4:4">
      <c r="D2823" s="66"/>
    </row>
    <row r="2824" spans="4:4">
      <c r="D2824" s="66"/>
    </row>
    <row r="2825" spans="4:4">
      <c r="D2825" s="66"/>
    </row>
    <row r="2826" spans="4:4">
      <c r="D2826" s="66"/>
    </row>
    <row r="2827" spans="4:4">
      <c r="D2827" s="66"/>
    </row>
    <row r="2828" spans="4:4">
      <c r="D2828" s="66"/>
    </row>
    <row r="2829" spans="4:4">
      <c r="D2829" s="66"/>
    </row>
    <row r="2830" spans="4:4">
      <c r="D2830" s="66"/>
    </row>
    <row r="2831" spans="4:4">
      <c r="D2831" s="66"/>
    </row>
    <row r="2832" spans="4:4">
      <c r="D2832" s="66"/>
    </row>
    <row r="2833" spans="4:4">
      <c r="D2833" s="66"/>
    </row>
    <row r="2834" spans="4:4">
      <c r="D2834" s="66"/>
    </row>
    <row r="2835" spans="4:4">
      <c r="D2835" s="66"/>
    </row>
    <row r="2836" spans="4:4">
      <c r="D2836" s="66"/>
    </row>
    <row r="2837" spans="4:4">
      <c r="D2837" s="66"/>
    </row>
    <row r="2838" spans="4:4">
      <c r="D2838" s="66"/>
    </row>
    <row r="2839" spans="4:4">
      <c r="D2839" s="66"/>
    </row>
    <row r="2840" spans="4:4">
      <c r="D2840" s="66"/>
    </row>
    <row r="2841" spans="4:4">
      <c r="D2841" s="66"/>
    </row>
    <row r="2842" spans="4:4">
      <c r="D2842" s="66"/>
    </row>
    <row r="2843" spans="4:4">
      <c r="D2843" s="66"/>
    </row>
    <row r="2844" spans="4:4">
      <c r="D2844" s="66"/>
    </row>
    <row r="2845" spans="4:4">
      <c r="D2845" s="66"/>
    </row>
    <row r="2846" spans="4:4">
      <c r="D2846" s="66"/>
    </row>
    <row r="2847" spans="4:4">
      <c r="D2847" s="66"/>
    </row>
    <row r="2848" spans="4:4">
      <c r="D2848" s="66"/>
    </row>
    <row r="2849" spans="4:4">
      <c r="D2849" s="66"/>
    </row>
    <row r="2850" spans="4:4">
      <c r="D2850" s="66"/>
    </row>
    <row r="2851" spans="4:4">
      <c r="D2851" s="66"/>
    </row>
    <row r="2852" spans="4:4">
      <c r="D2852" s="66"/>
    </row>
    <row r="2853" spans="4:4">
      <c r="D2853" s="66"/>
    </row>
    <row r="2854" spans="4:4">
      <c r="D2854" s="66"/>
    </row>
    <row r="2855" spans="4:4">
      <c r="D2855" s="66"/>
    </row>
    <row r="2856" spans="4:4">
      <c r="D2856" s="66"/>
    </row>
    <row r="2857" spans="4:4">
      <c r="D2857" s="66"/>
    </row>
    <row r="2858" spans="4:4">
      <c r="D2858" s="66"/>
    </row>
    <row r="2859" spans="4:4">
      <c r="D2859" s="66"/>
    </row>
    <row r="2860" spans="4:4">
      <c r="D2860" s="66"/>
    </row>
    <row r="2861" spans="4:4">
      <c r="D2861" s="66"/>
    </row>
    <row r="2862" spans="4:4">
      <c r="D2862" s="66"/>
    </row>
    <row r="2863" spans="4:4">
      <c r="D2863" s="66"/>
    </row>
    <row r="2864" spans="4:4">
      <c r="D2864" s="66"/>
    </row>
    <row r="2865" spans="4:4">
      <c r="D2865" s="66"/>
    </row>
    <row r="2866" spans="4:4">
      <c r="D2866" s="66"/>
    </row>
    <row r="2867" spans="4:4">
      <c r="D2867" s="66"/>
    </row>
    <row r="2868" spans="4:4">
      <c r="D2868" s="66"/>
    </row>
    <row r="2869" spans="4:4">
      <c r="D2869" s="66"/>
    </row>
    <row r="2870" spans="4:4">
      <c r="D2870" s="66"/>
    </row>
    <row r="2871" spans="4:4">
      <c r="D2871" s="66"/>
    </row>
    <row r="2872" spans="4:4">
      <c r="D2872" s="66"/>
    </row>
    <row r="2873" spans="4:4">
      <c r="D2873" s="66"/>
    </row>
    <row r="2874" spans="4:4">
      <c r="D2874" s="66"/>
    </row>
    <row r="2875" spans="4:4">
      <c r="D2875" s="66"/>
    </row>
    <row r="2876" spans="4:4">
      <c r="D2876" s="66"/>
    </row>
    <row r="2877" spans="4:4">
      <c r="D2877" s="66"/>
    </row>
    <row r="2878" spans="4:4">
      <c r="D2878" s="66"/>
    </row>
    <row r="2879" spans="4:4">
      <c r="D2879" s="66"/>
    </row>
    <row r="2880" spans="4:4">
      <c r="D2880" s="66"/>
    </row>
    <row r="2881" spans="4:4">
      <c r="D2881" s="66"/>
    </row>
    <row r="2882" spans="4:4">
      <c r="D2882" s="66"/>
    </row>
    <row r="2883" spans="4:4">
      <c r="D2883" s="66"/>
    </row>
    <row r="2884" spans="4:4">
      <c r="D2884" s="66"/>
    </row>
    <row r="2885" spans="4:4">
      <c r="D2885" s="66"/>
    </row>
    <row r="2886" spans="4:4">
      <c r="D2886" s="66"/>
    </row>
    <row r="2887" spans="4:4">
      <c r="D2887" s="66"/>
    </row>
    <row r="2888" spans="4:4">
      <c r="D2888" s="66"/>
    </row>
    <row r="2889" spans="4:4">
      <c r="D2889" s="66"/>
    </row>
    <row r="2890" spans="4:4">
      <c r="D2890" s="66"/>
    </row>
    <row r="2891" spans="4:4">
      <c r="D2891" s="66"/>
    </row>
    <row r="2892" spans="4:4">
      <c r="D2892" s="66"/>
    </row>
    <row r="2893" spans="4:4">
      <c r="D2893" s="66"/>
    </row>
    <row r="2894" spans="4:4">
      <c r="D2894" s="66"/>
    </row>
    <row r="2895" spans="4:4">
      <c r="D2895" s="66"/>
    </row>
    <row r="2896" spans="4:4">
      <c r="D2896" s="66"/>
    </row>
    <row r="2897" spans="4:4">
      <c r="D2897" s="66"/>
    </row>
    <row r="2898" spans="4:4">
      <c r="D2898" s="66"/>
    </row>
    <row r="2899" spans="4:4">
      <c r="D2899" s="66"/>
    </row>
    <row r="2900" spans="4:4">
      <c r="D2900" s="66"/>
    </row>
    <row r="2901" spans="4:4">
      <c r="D2901" s="66"/>
    </row>
    <row r="2902" spans="4:4">
      <c r="D2902" s="66"/>
    </row>
    <row r="2903" spans="4:4">
      <c r="D2903" s="66"/>
    </row>
    <row r="2904" spans="4:4">
      <c r="D2904" s="66"/>
    </row>
    <row r="2905" spans="4:4">
      <c r="D2905" s="66"/>
    </row>
    <row r="2906" spans="4:4">
      <c r="D2906" s="66"/>
    </row>
    <row r="2907" spans="4:4">
      <c r="D2907" s="66"/>
    </row>
    <row r="2908" spans="4:4">
      <c r="D2908" s="66"/>
    </row>
    <row r="2909" spans="4:4">
      <c r="D2909" s="66"/>
    </row>
    <row r="2910" spans="4:4">
      <c r="D2910" s="66"/>
    </row>
    <row r="2911" spans="4:4">
      <c r="D2911" s="66"/>
    </row>
    <row r="2912" spans="4:4">
      <c r="D2912" s="66"/>
    </row>
    <row r="2913" spans="4:4">
      <c r="D2913" s="66"/>
    </row>
    <row r="2914" spans="4:4">
      <c r="D2914" s="66"/>
    </row>
    <row r="2915" spans="4:4">
      <c r="D2915" s="66"/>
    </row>
    <row r="2916" spans="4:4">
      <c r="D2916" s="66"/>
    </row>
    <row r="2917" spans="4:4">
      <c r="D2917" s="66"/>
    </row>
    <row r="2918" spans="4:4">
      <c r="D2918" s="66"/>
    </row>
    <row r="2919" spans="4:4">
      <c r="D2919" s="66"/>
    </row>
    <row r="2920" spans="4:4">
      <c r="D2920" s="66"/>
    </row>
    <row r="2921" spans="4:4">
      <c r="D2921" s="66"/>
    </row>
    <row r="2922" spans="4:4">
      <c r="D2922" s="66"/>
    </row>
    <row r="2923" spans="4:4">
      <c r="D2923" s="66"/>
    </row>
    <row r="2924" spans="4:4">
      <c r="D2924" s="66"/>
    </row>
    <row r="2925" spans="4:4">
      <c r="D2925" s="66"/>
    </row>
    <row r="2926" spans="4:4">
      <c r="D2926" s="66"/>
    </row>
    <row r="2927" spans="4:4">
      <c r="D2927" s="66"/>
    </row>
    <row r="2928" spans="4:4">
      <c r="D2928" s="66"/>
    </row>
    <row r="2929" spans="4:4">
      <c r="D2929" s="66"/>
    </row>
    <row r="2930" spans="4:4">
      <c r="D2930" s="66"/>
    </row>
    <row r="2931" spans="4:4">
      <c r="D2931" s="66"/>
    </row>
    <row r="2932" spans="4:4">
      <c r="D2932" s="66"/>
    </row>
    <row r="2933" spans="4:4">
      <c r="D2933" s="66"/>
    </row>
    <row r="2934" spans="4:4">
      <c r="D2934" s="66"/>
    </row>
    <row r="2935" spans="4:4">
      <c r="D2935" s="66"/>
    </row>
    <row r="2936" spans="4:4">
      <c r="D2936" s="66"/>
    </row>
    <row r="2937" spans="4:4">
      <c r="D2937" s="66"/>
    </row>
    <row r="2938" spans="4:4">
      <c r="D2938" s="66"/>
    </row>
    <row r="2939" spans="4:4">
      <c r="D2939" s="66"/>
    </row>
    <row r="2940" spans="4:4">
      <c r="D2940" s="66"/>
    </row>
    <row r="2941" spans="4:4">
      <c r="D2941" s="66"/>
    </row>
    <row r="2942" spans="4:4">
      <c r="D2942" s="66"/>
    </row>
    <row r="2943" spans="4:4">
      <c r="D2943" s="66"/>
    </row>
    <row r="2944" spans="4:4">
      <c r="D2944" s="66"/>
    </row>
    <row r="2945" spans="4:4">
      <c r="D2945" s="66"/>
    </row>
    <row r="2946" spans="4:4">
      <c r="D2946" s="66"/>
    </row>
    <row r="2947" spans="4:4">
      <c r="D2947" s="66"/>
    </row>
    <row r="2948" spans="4:4">
      <c r="D2948" s="66"/>
    </row>
    <row r="2949" spans="4:4">
      <c r="D2949" s="66"/>
    </row>
    <row r="2950" spans="4:4">
      <c r="D2950" s="66"/>
    </row>
    <row r="2951" spans="4:4">
      <c r="D2951" s="66"/>
    </row>
    <row r="2952" spans="4:4">
      <c r="D2952" s="66"/>
    </row>
    <row r="2953" spans="4:4">
      <c r="D2953" s="66"/>
    </row>
    <row r="2954" spans="4:4">
      <c r="D2954" s="66"/>
    </row>
    <row r="2955" spans="4:4">
      <c r="D2955" s="66"/>
    </row>
    <row r="2956" spans="4:4">
      <c r="D2956" s="66"/>
    </row>
    <row r="2957" spans="4:4">
      <c r="D2957" s="66"/>
    </row>
    <row r="2958" spans="4:4">
      <c r="D2958" s="66"/>
    </row>
    <row r="2959" spans="4:4">
      <c r="D2959" s="66"/>
    </row>
    <row r="2960" spans="4:4">
      <c r="D2960" s="66"/>
    </row>
    <row r="2961" spans="4:4">
      <c r="D2961" s="66"/>
    </row>
    <row r="2962" spans="4:4">
      <c r="D2962" s="66"/>
    </row>
    <row r="2963" spans="4:4">
      <c r="D2963" s="66"/>
    </row>
    <row r="2964" spans="4:4">
      <c r="D2964" s="66"/>
    </row>
    <row r="2965" spans="4:4">
      <c r="D2965" s="66"/>
    </row>
    <row r="2966" spans="4:4">
      <c r="D2966" s="66"/>
    </row>
    <row r="2967" spans="4:4">
      <c r="D2967" s="66"/>
    </row>
    <row r="2968" spans="4:4">
      <c r="D2968" s="66"/>
    </row>
    <row r="2969" spans="4:4">
      <c r="D2969" s="66"/>
    </row>
    <row r="2970" spans="4:4">
      <c r="D2970" s="66"/>
    </row>
    <row r="2971" spans="4:4">
      <c r="D2971" s="66"/>
    </row>
    <row r="2972" spans="4:4">
      <c r="D2972" s="66"/>
    </row>
    <row r="2973" spans="4:4">
      <c r="D2973" s="66"/>
    </row>
    <row r="2974" spans="4:4">
      <c r="D2974" s="66"/>
    </row>
    <row r="2975" spans="4:4">
      <c r="D2975" s="66"/>
    </row>
    <row r="2976" spans="4:4">
      <c r="D2976" s="66"/>
    </row>
    <row r="2977" spans="4:4">
      <c r="D2977" s="66"/>
    </row>
    <row r="2978" spans="4:4">
      <c r="D2978" s="66"/>
    </row>
    <row r="2979" spans="4:4">
      <c r="D2979" s="66"/>
    </row>
    <row r="2980" spans="4:4">
      <c r="D2980" s="66"/>
    </row>
    <row r="2981" spans="4:4">
      <c r="D2981" s="66"/>
    </row>
    <row r="2982" spans="4:4">
      <c r="D2982" s="66"/>
    </row>
    <row r="2983" spans="4:4">
      <c r="D2983" s="66"/>
    </row>
    <row r="2984" spans="4:4">
      <c r="D2984" s="66"/>
    </row>
    <row r="2985" spans="4:4">
      <c r="D2985" s="66"/>
    </row>
    <row r="2986" spans="4:4">
      <c r="D2986" s="66"/>
    </row>
    <row r="2987" spans="4:4">
      <c r="D2987" s="66"/>
    </row>
    <row r="2988" spans="4:4">
      <c r="D2988" s="66"/>
    </row>
    <row r="2989" spans="4:4">
      <c r="D2989" s="66"/>
    </row>
    <row r="2990" spans="4:4">
      <c r="D2990" s="66"/>
    </row>
    <row r="2991" spans="4:4">
      <c r="D2991" s="66"/>
    </row>
    <row r="2992" spans="4:4">
      <c r="D2992" s="66"/>
    </row>
    <row r="2993" spans="4:4">
      <c r="D2993" s="66"/>
    </row>
    <row r="2994" spans="4:4">
      <c r="D2994" s="66"/>
    </row>
    <row r="2995" spans="4:4">
      <c r="D2995" s="66"/>
    </row>
    <row r="2996" spans="4:4">
      <c r="D2996" s="66"/>
    </row>
    <row r="2997" spans="4:4">
      <c r="D2997" s="66"/>
    </row>
    <row r="2998" spans="4:4">
      <c r="D2998" s="66"/>
    </row>
    <row r="2999" spans="4:4">
      <c r="D2999" s="66"/>
    </row>
    <row r="3000" spans="4:4">
      <c r="D3000" s="66"/>
    </row>
    <row r="3001" spans="4:4">
      <c r="D3001" s="66"/>
    </row>
    <row r="3002" spans="4:4">
      <c r="D3002" s="66"/>
    </row>
    <row r="3003" spans="4:4">
      <c r="D3003" s="66"/>
    </row>
    <row r="3004" spans="4:4">
      <c r="D3004" s="66"/>
    </row>
    <row r="3005" spans="4:4">
      <c r="D3005" s="66"/>
    </row>
    <row r="3006" spans="4:4">
      <c r="D3006" s="66"/>
    </row>
    <row r="3007" spans="4:4">
      <c r="D3007" s="66"/>
    </row>
    <row r="3008" spans="4:4">
      <c r="D3008" s="66"/>
    </row>
    <row r="3009" spans="4:4">
      <c r="D3009" s="66"/>
    </row>
    <row r="3010" spans="4:4">
      <c r="D3010" s="66"/>
    </row>
    <row r="3011" spans="4:4">
      <c r="D3011" s="66"/>
    </row>
    <row r="3012" spans="4:4">
      <c r="D3012" s="66"/>
    </row>
    <row r="3013" spans="4:4">
      <c r="D3013" s="66"/>
    </row>
    <row r="3014" spans="4:4">
      <c r="D3014" s="66"/>
    </row>
    <row r="3015" spans="4:4">
      <c r="D3015" s="66"/>
    </row>
    <row r="3016" spans="4:4">
      <c r="D3016" s="66"/>
    </row>
    <row r="3017" spans="4:4">
      <c r="D3017" s="66"/>
    </row>
    <row r="3018" spans="4:4">
      <c r="D3018" s="66"/>
    </row>
    <row r="3019" spans="4:4">
      <c r="D3019" s="66"/>
    </row>
    <row r="3020" spans="4:4">
      <c r="D3020" s="66"/>
    </row>
    <row r="3021" spans="4:4">
      <c r="D3021" s="66"/>
    </row>
    <row r="3022" spans="4:4">
      <c r="D3022" s="66"/>
    </row>
    <row r="3023" spans="4:4">
      <c r="D3023" s="66"/>
    </row>
    <row r="3024" spans="4:4">
      <c r="D3024" s="66"/>
    </row>
    <row r="3025" spans="4:4">
      <c r="D3025" s="66"/>
    </row>
    <row r="3026" spans="4:4">
      <c r="D3026" s="66"/>
    </row>
    <row r="3027" spans="4:4">
      <c r="D3027" s="66"/>
    </row>
    <row r="3028" spans="4:4">
      <c r="D3028" s="66"/>
    </row>
    <row r="3029" spans="4:4">
      <c r="D3029" s="66"/>
    </row>
    <row r="3030" spans="4:4">
      <c r="D3030" s="66"/>
    </row>
    <row r="3031" spans="4:4">
      <c r="D3031" s="66"/>
    </row>
    <row r="3032" spans="4:4">
      <c r="D3032" s="66"/>
    </row>
    <row r="3033" spans="4:4">
      <c r="D3033" s="66"/>
    </row>
    <row r="3034" spans="4:4">
      <c r="D3034" s="66"/>
    </row>
    <row r="3035" spans="4:4">
      <c r="D3035" s="66"/>
    </row>
    <row r="3036" spans="4:4">
      <c r="D3036" s="66"/>
    </row>
    <row r="3037" spans="4:4">
      <c r="D3037" s="66"/>
    </row>
    <row r="3038" spans="4:4">
      <c r="D3038" s="66"/>
    </row>
    <row r="3039" spans="4:4">
      <c r="D3039" s="66"/>
    </row>
    <row r="3040" spans="4:4">
      <c r="D3040" s="66"/>
    </row>
    <row r="3041" spans="4:4">
      <c r="D3041" s="66"/>
    </row>
    <row r="3042" spans="4:4">
      <c r="D3042" s="66"/>
    </row>
    <row r="3043" spans="4:4">
      <c r="D3043" s="66"/>
    </row>
    <row r="3044" spans="4:4">
      <c r="D3044" s="66"/>
    </row>
    <row r="3045" spans="4:4">
      <c r="D3045" s="66"/>
    </row>
    <row r="3046" spans="4:4">
      <c r="D3046" s="66"/>
    </row>
    <row r="3047" spans="4:4">
      <c r="D3047" s="66"/>
    </row>
    <row r="3048" spans="4:4">
      <c r="D3048" s="66"/>
    </row>
    <row r="3049" spans="4:4">
      <c r="D3049" s="66"/>
    </row>
    <row r="3050" spans="4:4">
      <c r="D3050" s="66"/>
    </row>
    <row r="3051" spans="4:4">
      <c r="D3051" s="66"/>
    </row>
    <row r="3052" spans="4:4">
      <c r="D3052" s="66"/>
    </row>
    <row r="3053" spans="4:4">
      <c r="D3053" s="66"/>
    </row>
    <row r="3054" spans="4:4">
      <c r="D3054" s="66"/>
    </row>
    <row r="3055" spans="4:4">
      <c r="D3055" s="66"/>
    </row>
    <row r="3056" spans="4:4">
      <c r="D3056" s="66"/>
    </row>
    <row r="3057" spans="4:4">
      <c r="D3057" s="66"/>
    </row>
    <row r="3058" spans="4:4">
      <c r="D3058" s="66"/>
    </row>
    <row r="3059" spans="4:4">
      <c r="D3059" s="66"/>
    </row>
    <row r="3060" spans="4:4">
      <c r="D3060" s="66"/>
    </row>
    <row r="3061" spans="4:4">
      <c r="D3061" s="66"/>
    </row>
    <row r="3062" spans="4:4">
      <c r="D3062" s="66"/>
    </row>
    <row r="3063" spans="4:4">
      <c r="D3063" s="66"/>
    </row>
    <row r="3064" spans="4:4">
      <c r="D3064" s="66"/>
    </row>
    <row r="3065" spans="4:4">
      <c r="D3065" s="66"/>
    </row>
    <row r="3066" spans="4:4">
      <c r="D3066" s="66"/>
    </row>
    <row r="3067" spans="4:4">
      <c r="D3067" s="66"/>
    </row>
    <row r="3068" spans="4:4">
      <c r="D3068" s="66"/>
    </row>
    <row r="3069" spans="4:4">
      <c r="D3069" s="66"/>
    </row>
    <row r="3070" spans="4:4">
      <c r="D3070" s="66"/>
    </row>
    <row r="3071" spans="4:4">
      <c r="D3071" s="66"/>
    </row>
    <row r="3072" spans="4:4">
      <c r="D3072" s="66"/>
    </row>
    <row r="3073" spans="4:4">
      <c r="D3073" s="66"/>
    </row>
    <row r="3074" spans="4:4">
      <c r="D3074" s="66"/>
    </row>
    <row r="3075" spans="4:4">
      <c r="D3075" s="66"/>
    </row>
    <row r="3076" spans="4:4">
      <c r="D3076" s="66"/>
    </row>
    <row r="3077" spans="4:4">
      <c r="D3077" s="66"/>
    </row>
    <row r="3078" spans="4:4">
      <c r="D3078" s="66"/>
    </row>
    <row r="3079" spans="4:4">
      <c r="D3079" s="66"/>
    </row>
    <row r="3080" spans="4:4">
      <c r="D3080" s="66"/>
    </row>
    <row r="3081" spans="4:4">
      <c r="D3081" s="66"/>
    </row>
    <row r="3082" spans="4:4">
      <c r="D3082" s="66"/>
    </row>
    <row r="3083" spans="4:4">
      <c r="D3083" s="66"/>
    </row>
    <row r="3084" spans="4:4">
      <c r="D3084" s="66"/>
    </row>
    <row r="3085" spans="4:4">
      <c r="D3085" s="66"/>
    </row>
    <row r="3086" spans="4:4">
      <c r="D3086" s="66"/>
    </row>
    <row r="3087" spans="4:4">
      <c r="D3087" s="66"/>
    </row>
    <row r="3088" spans="4:4">
      <c r="D3088" s="66"/>
    </row>
    <row r="3089" spans="4:4">
      <c r="D3089" s="66"/>
    </row>
    <row r="3090" spans="4:4">
      <c r="D3090" s="66"/>
    </row>
    <row r="3091" spans="4:4">
      <c r="D3091" s="66"/>
    </row>
    <row r="3092" spans="4:4">
      <c r="D3092" s="66"/>
    </row>
    <row r="3093" spans="4:4">
      <c r="D3093" s="66"/>
    </row>
    <row r="3094" spans="4:4">
      <c r="D3094" s="66"/>
    </row>
    <row r="3095" spans="4:4">
      <c r="D3095" s="66"/>
    </row>
    <row r="3096" spans="4:4">
      <c r="D3096" s="66"/>
    </row>
    <row r="3097" spans="4:4">
      <c r="D3097" s="66"/>
    </row>
    <row r="3098" spans="4:4">
      <c r="D3098" s="66"/>
    </row>
    <row r="3099" spans="4:4">
      <c r="D3099" s="66"/>
    </row>
    <row r="3100" spans="4:4">
      <c r="D3100" s="66"/>
    </row>
    <row r="3101" spans="4:4">
      <c r="D3101" s="66"/>
    </row>
    <row r="3102" spans="4:4">
      <c r="D3102" s="66"/>
    </row>
    <row r="3103" spans="4:4">
      <c r="D3103" s="66"/>
    </row>
    <row r="3104" spans="4:4">
      <c r="D3104" s="66"/>
    </row>
    <row r="3105" spans="4:4">
      <c r="D3105" s="66"/>
    </row>
    <row r="3106" spans="4:4">
      <c r="D3106" s="66"/>
    </row>
    <row r="3107" spans="4:4">
      <c r="D3107" s="66"/>
    </row>
    <row r="3108" spans="4:4">
      <c r="D3108" s="66"/>
    </row>
    <row r="3109" spans="4:4">
      <c r="D3109" s="66"/>
    </row>
    <row r="3110" spans="4:4">
      <c r="D3110" s="66"/>
    </row>
    <row r="3111" spans="4:4">
      <c r="D3111" s="66"/>
    </row>
    <row r="3112" spans="4:4">
      <c r="D3112" s="66"/>
    </row>
    <row r="3113" spans="4:4">
      <c r="D3113" s="66"/>
    </row>
    <row r="3114" spans="4:4">
      <c r="D3114" s="66"/>
    </row>
    <row r="3115" spans="4:4">
      <c r="D3115" s="66"/>
    </row>
    <row r="3116" spans="4:4">
      <c r="D3116" s="66"/>
    </row>
    <row r="3117" spans="4:4">
      <c r="D3117" s="66"/>
    </row>
    <row r="3118" spans="4:4">
      <c r="D3118" s="66"/>
    </row>
    <row r="3119" spans="4:4">
      <c r="D3119" s="66"/>
    </row>
    <row r="3120" spans="4:4">
      <c r="D3120" s="66"/>
    </row>
    <row r="3121" spans="4:4">
      <c r="D3121" s="66"/>
    </row>
    <row r="3122" spans="4:4">
      <c r="D3122" s="66"/>
    </row>
    <row r="3123" spans="4:4">
      <c r="D3123" s="66"/>
    </row>
    <row r="3124" spans="4:4">
      <c r="D3124" s="66"/>
    </row>
    <row r="3125" spans="4:4">
      <c r="D3125" s="66"/>
    </row>
    <row r="3126" spans="4:4">
      <c r="D3126" s="66"/>
    </row>
    <row r="3127" spans="4:4">
      <c r="D3127" s="66"/>
    </row>
    <row r="3128" spans="4:4">
      <c r="D3128" s="66"/>
    </row>
    <row r="3129" spans="4:4">
      <c r="D3129" s="66"/>
    </row>
    <row r="3130" spans="4:4">
      <c r="D3130" s="66"/>
    </row>
    <row r="3131" spans="4:4">
      <c r="D3131" s="66"/>
    </row>
    <row r="3132" spans="4:4">
      <c r="D3132" s="66"/>
    </row>
    <row r="3133" spans="4:4">
      <c r="D3133" s="66"/>
    </row>
    <row r="3134" spans="4:4">
      <c r="D3134" s="66"/>
    </row>
    <row r="3135" spans="4:4">
      <c r="D3135" s="66"/>
    </row>
    <row r="3136" spans="4:4">
      <c r="D3136" s="66"/>
    </row>
    <row r="3137" spans="4:4">
      <c r="D3137" s="66"/>
    </row>
    <row r="3138" spans="4:4">
      <c r="D3138" s="66"/>
    </row>
    <row r="3139" spans="4:4">
      <c r="D3139" s="66"/>
    </row>
    <row r="3140" spans="4:4">
      <c r="D3140" s="66"/>
    </row>
    <row r="3141" spans="4:4">
      <c r="D3141" s="66"/>
    </row>
    <row r="3142" spans="4:4">
      <c r="D3142" s="66"/>
    </row>
    <row r="3143" spans="4:4">
      <c r="D3143" s="66"/>
    </row>
    <row r="3144" spans="4:4">
      <c r="D3144" s="66"/>
    </row>
    <row r="3145" spans="4:4">
      <c r="D3145" s="66"/>
    </row>
    <row r="3146" spans="4:4">
      <c r="D3146" s="66"/>
    </row>
    <row r="3147" spans="4:4">
      <c r="D3147" s="66"/>
    </row>
    <row r="3148" spans="4:4">
      <c r="D3148" s="66"/>
    </row>
    <row r="3149" spans="4:4">
      <c r="D3149" s="66"/>
    </row>
    <row r="3150" spans="4:4">
      <c r="D3150" s="66"/>
    </row>
    <row r="3151" spans="4:4">
      <c r="D3151" s="66"/>
    </row>
    <row r="3152" spans="4:4">
      <c r="D3152" s="66"/>
    </row>
    <row r="3153" spans="4:4">
      <c r="D3153" s="66"/>
    </row>
    <row r="3154" spans="4:4">
      <c r="D3154" s="66"/>
    </row>
    <row r="3155" spans="4:4">
      <c r="D3155" s="66"/>
    </row>
    <row r="3156" spans="4:4">
      <c r="D3156" s="66"/>
    </row>
    <row r="3157" spans="4:4">
      <c r="D3157" s="66"/>
    </row>
    <row r="3158" spans="4:4">
      <c r="D3158" s="66"/>
    </row>
    <row r="3159" spans="4:4">
      <c r="D3159" s="66"/>
    </row>
    <row r="3160" spans="4:4">
      <c r="D3160" s="66"/>
    </row>
    <row r="3161" spans="4:4">
      <c r="D3161" s="66"/>
    </row>
    <row r="3162" spans="4:4">
      <c r="D3162" s="66"/>
    </row>
    <row r="3163" spans="4:4">
      <c r="D3163" s="66"/>
    </row>
    <row r="3164" spans="4:4">
      <c r="D3164" s="66"/>
    </row>
    <row r="3165" spans="4:4">
      <c r="D3165" s="66"/>
    </row>
    <row r="3166" spans="4:4">
      <c r="D3166" s="66"/>
    </row>
    <row r="3167" spans="4:4">
      <c r="D3167" s="66"/>
    </row>
    <row r="3168" spans="4:4">
      <c r="D3168" s="66"/>
    </row>
    <row r="3169" spans="4:4">
      <c r="D3169" s="66"/>
    </row>
    <row r="3170" spans="4:4">
      <c r="D3170" s="66"/>
    </row>
    <row r="3171" spans="4:4">
      <c r="D3171" s="66"/>
    </row>
    <row r="3172" spans="4:4">
      <c r="D3172" s="66"/>
    </row>
    <row r="3173" spans="4:4">
      <c r="D3173" s="66"/>
    </row>
    <row r="3174" spans="4:4">
      <c r="D3174" s="66"/>
    </row>
    <row r="3175" spans="4:4">
      <c r="D3175" s="66"/>
    </row>
    <row r="3176" spans="4:4">
      <c r="D3176" s="66"/>
    </row>
    <row r="3177" spans="4:4">
      <c r="D3177" s="66"/>
    </row>
    <row r="3178" spans="4:4">
      <c r="D3178" s="66"/>
    </row>
    <row r="3179" spans="4:4">
      <c r="D3179" s="66"/>
    </row>
    <row r="3180" spans="4:4">
      <c r="D3180" s="66"/>
    </row>
    <row r="3181" spans="4:4">
      <c r="D3181" s="66"/>
    </row>
    <row r="3182" spans="4:4">
      <c r="D3182" s="66"/>
    </row>
    <row r="3183" spans="4:4">
      <c r="D3183" s="66"/>
    </row>
    <row r="3184" spans="4:4">
      <c r="D3184" s="66"/>
    </row>
    <row r="3185" spans="4:4">
      <c r="D3185" s="66"/>
    </row>
    <row r="3186" spans="4:4">
      <c r="D3186" s="66"/>
    </row>
    <row r="3187" spans="4:4">
      <c r="D3187" s="66"/>
    </row>
    <row r="3188" spans="4:4">
      <c r="D3188" s="66"/>
    </row>
    <row r="3189" spans="4:4">
      <c r="D3189" s="66"/>
    </row>
    <row r="3190" spans="4:4">
      <c r="D3190" s="66"/>
    </row>
    <row r="3191" spans="4:4">
      <c r="D3191" s="66"/>
    </row>
    <row r="3192" spans="4:4">
      <c r="D3192" s="66"/>
    </row>
    <row r="3193" spans="4:4">
      <c r="D3193" s="66"/>
    </row>
    <row r="3194" spans="4:4">
      <c r="D3194" s="66"/>
    </row>
    <row r="3195" spans="4:4">
      <c r="D3195" s="66"/>
    </row>
    <row r="3196" spans="4:4">
      <c r="D3196" s="66"/>
    </row>
    <row r="3197" spans="4:4">
      <c r="D3197" s="66"/>
    </row>
    <row r="3198" spans="4:4">
      <c r="D3198" s="66"/>
    </row>
    <row r="3199" spans="4:4">
      <c r="D3199" s="66"/>
    </row>
    <row r="3200" spans="4:4">
      <c r="D3200" s="66"/>
    </row>
    <row r="3201" spans="4:4">
      <c r="D3201" s="66"/>
    </row>
    <row r="3202" spans="4:4">
      <c r="D3202" s="66"/>
    </row>
    <row r="3203" spans="4:4">
      <c r="D3203" s="66"/>
    </row>
    <row r="3204" spans="4:4">
      <c r="D3204" s="66"/>
    </row>
    <row r="3205" spans="4:4">
      <c r="D3205" s="66"/>
    </row>
    <row r="3206" spans="4:4">
      <c r="D3206" s="66"/>
    </row>
    <row r="3207" spans="4:4">
      <c r="D3207" s="66"/>
    </row>
    <row r="3208" spans="4:4">
      <c r="D3208" s="66"/>
    </row>
    <row r="3209" spans="4:4">
      <c r="D3209" s="66"/>
    </row>
    <row r="3210" spans="4:4">
      <c r="D3210" s="66"/>
    </row>
    <row r="3211" spans="4:4">
      <c r="D3211" s="66"/>
    </row>
    <row r="3212" spans="4:4">
      <c r="D3212" s="66"/>
    </row>
    <row r="3213" spans="4:4">
      <c r="D3213" s="66"/>
    </row>
    <row r="3214" spans="4:4">
      <c r="D3214" s="66"/>
    </row>
    <row r="3215" spans="4:4">
      <c r="D3215" s="66"/>
    </row>
    <row r="3216" spans="4:4">
      <c r="D3216" s="66"/>
    </row>
    <row r="3217" spans="4:4">
      <c r="D3217" s="66"/>
    </row>
    <row r="3218" spans="4:4">
      <c r="D3218" s="66"/>
    </row>
    <row r="3219" spans="4:4">
      <c r="D3219" s="66"/>
    </row>
    <row r="3220" spans="4:4">
      <c r="D3220" s="66"/>
    </row>
    <row r="3221" spans="4:4">
      <c r="D3221" s="66"/>
    </row>
    <row r="3222" spans="4:4">
      <c r="D3222" s="66"/>
    </row>
    <row r="3223" spans="4:4">
      <c r="D3223" s="66"/>
    </row>
    <row r="3224" spans="4:4">
      <c r="D3224" s="66"/>
    </row>
    <row r="3225" spans="4:4">
      <c r="D3225" s="66"/>
    </row>
    <row r="3226" spans="4:4">
      <c r="D3226" s="66"/>
    </row>
    <row r="3227" spans="4:4">
      <c r="D3227" s="66"/>
    </row>
    <row r="3228" spans="4:4">
      <c r="D3228" s="66"/>
    </row>
    <row r="3229" spans="4:4">
      <c r="D3229" s="66"/>
    </row>
    <row r="3230" spans="4:4">
      <c r="D3230" s="66"/>
    </row>
    <row r="3231" spans="4:4">
      <c r="D3231" s="66"/>
    </row>
    <row r="3232" spans="4:4">
      <c r="D3232" s="66"/>
    </row>
    <row r="3233" spans="4:4">
      <c r="D3233" s="66"/>
    </row>
    <row r="3234" spans="4:4">
      <c r="D3234" s="66"/>
    </row>
    <row r="3235" spans="4:4">
      <c r="D3235" s="66"/>
    </row>
    <row r="3236" spans="4:4">
      <c r="D3236" s="66"/>
    </row>
    <row r="3237" spans="4:4">
      <c r="D3237" s="66"/>
    </row>
    <row r="3238" spans="4:4">
      <c r="D3238" s="66"/>
    </row>
    <row r="3239" spans="4:4">
      <c r="D3239" s="66"/>
    </row>
    <row r="3240" spans="4:4">
      <c r="D3240" s="66"/>
    </row>
    <row r="3241" spans="4:4">
      <c r="D3241" s="66"/>
    </row>
    <row r="3242" spans="4:4">
      <c r="D3242" s="66"/>
    </row>
    <row r="3243" spans="4:4">
      <c r="D3243" s="66"/>
    </row>
    <row r="3244" spans="4:4">
      <c r="D3244" s="66"/>
    </row>
    <row r="3245" spans="4:4">
      <c r="D3245" s="66"/>
    </row>
    <row r="3246" spans="4:4">
      <c r="D3246" s="66"/>
    </row>
    <row r="3247" spans="4:4">
      <c r="D3247" s="66"/>
    </row>
    <row r="3248" spans="4:4">
      <c r="D3248" s="66"/>
    </row>
    <row r="3249" spans="4:4">
      <c r="D3249" s="66"/>
    </row>
    <row r="3250" spans="4:4">
      <c r="D3250" s="66"/>
    </row>
    <row r="3251" spans="4:4">
      <c r="D3251" s="66"/>
    </row>
    <row r="3252" spans="4:4">
      <c r="D3252" s="66"/>
    </row>
    <row r="3253" spans="4:4">
      <c r="D3253" s="66"/>
    </row>
    <row r="3254" spans="4:4">
      <c r="D3254" s="66"/>
    </row>
    <row r="3255" spans="4:4">
      <c r="D3255" s="66"/>
    </row>
    <row r="3256" spans="4:4">
      <c r="D3256" s="66"/>
    </row>
    <row r="3257" spans="4:4">
      <c r="D3257" s="66"/>
    </row>
    <row r="3258" spans="4:4">
      <c r="D3258" s="66"/>
    </row>
    <row r="3259" spans="4:4">
      <c r="D3259" s="66"/>
    </row>
    <row r="3260" spans="4:4">
      <c r="D3260" s="66"/>
    </row>
    <row r="3261" spans="4:4">
      <c r="D3261" s="66"/>
    </row>
    <row r="3262" spans="4:4">
      <c r="D3262" s="66"/>
    </row>
    <row r="3263" spans="4:4">
      <c r="D3263" s="66"/>
    </row>
    <row r="3264" spans="4:4">
      <c r="D3264" s="66"/>
    </row>
    <row r="3265" spans="4:4">
      <c r="D3265" s="66"/>
    </row>
    <row r="3266" spans="4:4">
      <c r="D3266" s="66"/>
    </row>
    <row r="3267" spans="4:4">
      <c r="D3267" s="66"/>
    </row>
    <row r="3268" spans="4:4">
      <c r="D3268" s="66"/>
    </row>
    <row r="3269" spans="4:4">
      <c r="D3269" s="66"/>
    </row>
    <row r="3270" spans="4:4">
      <c r="D3270" s="66"/>
    </row>
    <row r="3271" spans="4:4">
      <c r="D3271" s="66"/>
    </row>
    <row r="3272" spans="4:4">
      <c r="D3272" s="66"/>
    </row>
    <row r="3273" spans="4:4">
      <c r="D3273" s="66"/>
    </row>
    <row r="3274" spans="4:4">
      <c r="D3274" s="66"/>
    </row>
    <row r="3275" spans="4:4">
      <c r="D3275" s="66"/>
    </row>
    <row r="3276" spans="4:4">
      <c r="D3276" s="66"/>
    </row>
    <row r="3277" spans="4:4">
      <c r="D3277" s="66"/>
    </row>
    <row r="3278" spans="4:4">
      <c r="D3278" s="66"/>
    </row>
    <row r="3279" spans="4:4">
      <c r="D3279" s="66"/>
    </row>
    <row r="3280" spans="4:4">
      <c r="D3280" s="66"/>
    </row>
    <row r="3281" spans="4:4">
      <c r="D3281" s="66"/>
    </row>
    <row r="3282" spans="4:4">
      <c r="D3282" s="66"/>
    </row>
    <row r="3283" spans="4:4">
      <c r="D3283" s="66"/>
    </row>
    <row r="3284" spans="4:4">
      <c r="D3284" s="66"/>
    </row>
    <row r="3285" spans="4:4">
      <c r="D3285" s="66"/>
    </row>
    <row r="3286" spans="4:4">
      <c r="D3286" s="66"/>
    </row>
    <row r="3287" spans="4:4">
      <c r="D3287" s="66"/>
    </row>
    <row r="3288" spans="4:4">
      <c r="D3288" s="66"/>
    </row>
    <row r="3289" spans="4:4">
      <c r="D3289" s="66"/>
    </row>
    <row r="3290" spans="4:4">
      <c r="D3290" s="66"/>
    </row>
    <row r="3291" spans="4:4">
      <c r="D3291" s="66"/>
    </row>
    <row r="3292" spans="4:4">
      <c r="D3292" s="66"/>
    </row>
    <row r="3293" spans="4:4">
      <c r="D3293" s="66"/>
    </row>
    <row r="3294" spans="4:4">
      <c r="D3294" s="66"/>
    </row>
    <row r="3295" spans="4:4">
      <c r="D3295" s="66"/>
    </row>
    <row r="3296" spans="4:4">
      <c r="D3296" s="66"/>
    </row>
    <row r="3297" spans="4:4">
      <c r="D3297" s="66"/>
    </row>
    <row r="3298" spans="4:4">
      <c r="D3298" s="66"/>
    </row>
    <row r="3299" spans="4:4">
      <c r="D3299" s="66"/>
    </row>
    <row r="3300" spans="4:4">
      <c r="D3300" s="66"/>
    </row>
    <row r="3301" spans="4:4">
      <c r="D3301" s="66"/>
    </row>
    <row r="3302" spans="4:4">
      <c r="D3302" s="66"/>
    </row>
    <row r="3303" spans="4:4">
      <c r="D3303" s="66"/>
    </row>
    <row r="3304" spans="4:4">
      <c r="D3304" s="66"/>
    </row>
    <row r="3305" spans="4:4">
      <c r="D3305" s="66"/>
    </row>
    <row r="3306" spans="4:4">
      <c r="D3306" s="66"/>
    </row>
    <row r="3307" spans="4:4">
      <c r="D3307" s="66"/>
    </row>
    <row r="3308" spans="4:4">
      <c r="D3308" s="66"/>
    </row>
    <row r="3309" spans="4:4">
      <c r="D3309" s="66"/>
    </row>
    <row r="3310" spans="4:4">
      <c r="D3310" s="66"/>
    </row>
    <row r="3311" spans="4:4">
      <c r="D3311" s="66"/>
    </row>
    <row r="3312" spans="4:4">
      <c r="D3312" s="66"/>
    </row>
    <row r="3313" spans="4:4">
      <c r="D3313" s="66"/>
    </row>
    <row r="3314" spans="4:4">
      <c r="D3314" s="66"/>
    </row>
    <row r="3315" spans="4:4">
      <c r="D3315" s="66"/>
    </row>
    <row r="3316" spans="4:4">
      <c r="D3316" s="66"/>
    </row>
    <row r="3317" spans="4:4">
      <c r="D3317" s="66"/>
    </row>
    <row r="3318" spans="4:4">
      <c r="D3318" s="66"/>
    </row>
    <row r="3319" spans="4:4">
      <c r="D3319" s="66"/>
    </row>
    <row r="3320" spans="4:4">
      <c r="D3320" s="66"/>
    </row>
    <row r="3321" spans="4:4">
      <c r="D3321" s="66"/>
    </row>
    <row r="3322" spans="4:4">
      <c r="D3322" s="66"/>
    </row>
    <row r="3323" spans="4:4">
      <c r="D3323" s="66"/>
    </row>
    <row r="3324" spans="4:4">
      <c r="D3324" s="66"/>
    </row>
    <row r="3325" spans="4:4">
      <c r="D3325" s="66"/>
    </row>
    <row r="3326" spans="4:4">
      <c r="D3326" s="66"/>
    </row>
    <row r="3327" spans="4:4">
      <c r="D3327" s="66"/>
    </row>
    <row r="3328" spans="4:4">
      <c r="D3328" s="66"/>
    </row>
    <row r="3329" spans="4:4">
      <c r="D3329" s="66"/>
    </row>
    <row r="3330" spans="4:4">
      <c r="D3330" s="66"/>
    </row>
  </sheetData>
  <autoFilter ref="A3:AA457" xr:uid="{00000000-0009-0000-0000-00000F000000}"/>
  <sortState ref="B4:B34">
    <sortCondition ref="B3"/>
  </sortState>
  <pageMargins left="0.7" right="0.7" top="0.75" bottom="0.75" header="0.3" footer="0.3"/>
  <pageSetup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7CEB4-808C-4796-82B2-E30F43D7DF6A}">
  <dimension ref="A1:C10"/>
  <sheetViews>
    <sheetView workbookViewId="0">
      <selection activeCell="C5" sqref="C5"/>
    </sheetView>
  </sheetViews>
  <sheetFormatPr defaultRowHeight="15.75"/>
  <cols>
    <col min="1" max="1" width="12.75" bestFit="1" customWidth="1"/>
    <col min="2" max="2" width="17.5" bestFit="1" customWidth="1"/>
    <col min="3" max="3" width="15.875" bestFit="1" customWidth="1"/>
  </cols>
  <sheetData>
    <row r="1" spans="1:3">
      <c r="A1" s="541" t="s">
        <v>22</v>
      </c>
      <c r="B1" s="533" t="s">
        <v>2707</v>
      </c>
    </row>
    <row r="2" spans="1:3">
      <c r="A2" s="541" t="s">
        <v>128</v>
      </c>
      <c r="B2" s="533" t="s">
        <v>44</v>
      </c>
    </row>
    <row r="4" spans="1:3">
      <c r="A4" s="541" t="s">
        <v>1628</v>
      </c>
      <c r="B4" s="533" t="s">
        <v>1889</v>
      </c>
      <c r="C4" s="533" t="s">
        <v>2883</v>
      </c>
    </row>
    <row r="5" spans="1:3">
      <c r="A5" s="532" t="s">
        <v>361</v>
      </c>
      <c r="B5" s="531">
        <v>1</v>
      </c>
      <c r="C5" s="531">
        <v>979</v>
      </c>
    </row>
    <row r="6" spans="1:3">
      <c r="A6" s="532" t="s">
        <v>306</v>
      </c>
      <c r="B6" s="531">
        <v>1</v>
      </c>
      <c r="C6" s="531">
        <v>581</v>
      </c>
    </row>
    <row r="7" spans="1:3">
      <c r="A7" s="532" t="s">
        <v>403</v>
      </c>
      <c r="B7" s="531">
        <v>1</v>
      </c>
      <c r="C7" s="531">
        <v>2920</v>
      </c>
    </row>
    <row r="8" spans="1:3">
      <c r="A8" s="532" t="s">
        <v>406</v>
      </c>
      <c r="B8" s="531">
        <v>5</v>
      </c>
      <c r="C8" s="531">
        <v>22313</v>
      </c>
    </row>
    <row r="9" spans="1:3">
      <c r="A9" s="532" t="s">
        <v>299</v>
      </c>
      <c r="B9" s="531">
        <v>17</v>
      </c>
      <c r="C9" s="531">
        <v>92327</v>
      </c>
    </row>
    <row r="10" spans="1:3">
      <c r="A10" s="532" t="s">
        <v>1630</v>
      </c>
      <c r="B10" s="531">
        <v>25</v>
      </c>
      <c r="C10" s="531">
        <v>119120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898C"/>
  </sheetPr>
  <dimension ref="A1:DU39"/>
  <sheetViews>
    <sheetView zoomScale="110" zoomScaleNormal="110" zoomScaleSheetLayoutView="40" workbookViewId="0">
      <pane xSplit="8" ySplit="6" topLeftCell="AP7" activePane="bottomRight" state="frozen"/>
      <selection pane="topRight" activeCell="I1" sqref="I1"/>
      <selection pane="bottomLeft" activeCell="A7" sqref="A7"/>
      <selection pane="bottomRight" activeCell="H16" sqref="H16"/>
    </sheetView>
  </sheetViews>
  <sheetFormatPr defaultColWidth="9" defaultRowHeight="15.75" outlineLevelCol="1"/>
  <cols>
    <col min="1" max="1" width="9.125" style="34" customWidth="1"/>
    <col min="2" max="2" width="17" style="34" bestFit="1" customWidth="1"/>
    <col min="3" max="3" width="20.75" style="20" bestFit="1" customWidth="1"/>
    <col min="4" max="4" width="19.75" style="20" customWidth="1"/>
    <col min="5" max="5" width="15.375" style="20" bestFit="1" customWidth="1"/>
    <col min="6" max="6" width="10.125" style="20" customWidth="1"/>
    <col min="7" max="7" width="9.125" style="20" customWidth="1"/>
    <col min="8" max="8" width="33.25" style="20" customWidth="1"/>
    <col min="9" max="9" width="7.75" style="20" customWidth="1"/>
    <col min="10" max="10" width="8.5" style="39" customWidth="1"/>
    <col min="11" max="11" width="14.875" style="20" customWidth="1"/>
    <col min="12" max="12" width="17.75" customWidth="1"/>
    <col min="13" max="13" width="12.125" customWidth="1"/>
    <col min="14" max="14" width="18.875" customWidth="1"/>
    <col min="15" max="15" width="17.25" style="35" customWidth="1"/>
    <col min="16" max="16" width="15.25" style="33" customWidth="1"/>
    <col min="17" max="17" width="16.625" style="33" customWidth="1"/>
    <col min="18" max="18" width="10.875" customWidth="1"/>
    <col min="19" max="21" width="16.5" customWidth="1"/>
    <col min="22" max="22" width="16.75" style="31" customWidth="1"/>
    <col min="23" max="24" width="13.125" style="31" customWidth="1"/>
    <col min="25" max="25" width="14.625" style="31" customWidth="1"/>
    <col min="26" max="30" width="13.125" style="31" customWidth="1"/>
    <col min="31" max="31" width="20.125" style="31" customWidth="1"/>
    <col min="32" max="32" width="16.5" style="20" customWidth="1"/>
    <col min="33" max="33" width="14.875" style="32" customWidth="1"/>
    <col min="34" max="34" width="13.25" style="32" customWidth="1"/>
    <col min="35" max="35" width="14.75" style="33" customWidth="1"/>
    <col min="36" max="36" width="13.125" style="33" customWidth="1"/>
    <col min="37" max="38" width="17.625" style="20" customWidth="1"/>
    <col min="39" max="40" width="17.625" style="33" customWidth="1"/>
    <col min="41" max="41" width="13.125" style="33" customWidth="1"/>
    <col min="42" max="42" width="15.625" style="33" customWidth="1"/>
    <col min="43" max="43" width="13.125" style="33" customWidth="1"/>
    <col min="44" max="44" width="16.875" style="36" customWidth="1"/>
    <col min="45" max="45" width="21.75" style="36" customWidth="1"/>
    <col min="46" max="46" width="12.375" style="36" customWidth="1"/>
    <col min="47" max="55" width="13.125" style="36" customWidth="1"/>
    <col min="56" max="56" width="26.75" customWidth="1"/>
    <col min="57" max="57" width="15.75" style="36" customWidth="1"/>
    <col min="58" max="58" width="16.75" style="36" customWidth="1"/>
    <col min="59" max="59" width="15.375" style="36" customWidth="1"/>
    <col min="60" max="61" width="13.125" style="36" customWidth="1"/>
    <col min="62" max="62" width="19.875" style="36" customWidth="1"/>
    <col min="63" max="63" width="16.875" style="36" customWidth="1"/>
    <col min="64" max="64" width="15.625" style="36" customWidth="1"/>
    <col min="65" max="66" width="13.125" style="36" hidden="1" customWidth="1" outlineLevel="1"/>
    <col min="67" max="67" width="11.125" style="36" hidden="1" customWidth="1" outlineLevel="1"/>
    <col min="68" max="68" width="15.5" hidden="1" customWidth="1" outlineLevel="1"/>
    <col min="69" max="69" width="20.375" style="33" hidden="1" customWidth="1" outlineLevel="1"/>
    <col min="70" max="70" width="20.625" style="33" hidden="1" customWidth="1" outlineLevel="1"/>
    <col min="71" max="71" width="17.125" style="33" hidden="1" customWidth="1" outlineLevel="1"/>
    <col min="72" max="72" width="13" style="33" hidden="1" customWidth="1" outlineLevel="1"/>
    <col min="73" max="73" width="15.75" style="31" customWidth="1" outlineLevel="1"/>
    <col min="74" max="74" width="13.25" style="31" hidden="1" customWidth="1" outlineLevel="1"/>
    <col min="75" max="75" width="18.875" style="31" customWidth="1" outlineLevel="1"/>
    <col min="76" max="76" width="13.125" style="33" hidden="1" customWidth="1" outlineLevel="1"/>
    <col min="77" max="77" width="14" style="31" hidden="1" customWidth="1" outlineLevel="1"/>
    <col min="78" max="78" width="15.5" style="31" hidden="1" customWidth="1" outlineLevel="1"/>
    <col min="79" max="79" width="18.375" style="33" hidden="1" customWidth="1" outlineLevel="1"/>
    <col min="80" max="80" width="18.25" style="33" customWidth="1" outlineLevel="1"/>
    <col min="81" max="81" width="15.625" style="33" hidden="1" customWidth="1" outlineLevel="1"/>
    <col min="82" max="82" width="12.75" style="33" hidden="1" customWidth="1" outlineLevel="1"/>
    <col min="83" max="83" width="19.25" style="33" hidden="1" customWidth="1" outlineLevel="1"/>
    <col min="84" max="84" width="9" customWidth="1" outlineLevel="1"/>
    <col min="85" max="85" width="12.125" style="32" customWidth="1" outlineLevel="1"/>
    <col min="86" max="86" width="15.25" style="33" customWidth="1" outlineLevel="1"/>
    <col min="87" max="87" width="18" customWidth="1" outlineLevel="1"/>
    <col min="88" max="88" width="16.375" style="33" customWidth="1" outlineLevel="1"/>
    <col min="89" max="89" width="13.25" style="33" customWidth="1" outlineLevel="1"/>
    <col min="90" max="90" width="12" style="33" customWidth="1" outlineLevel="1"/>
    <col min="91" max="91" width="15.5" style="33" hidden="1" customWidth="1" outlineLevel="1"/>
    <col min="92" max="92" width="23.125" style="33" customWidth="1" outlineLevel="1"/>
    <col min="93" max="93" width="14.25" style="33" customWidth="1" outlineLevel="1"/>
    <col min="94" max="94" width="11.875" style="33" customWidth="1" outlineLevel="1"/>
    <col min="95" max="95" width="17.875" customWidth="1" outlineLevel="1"/>
    <col min="96" max="97" width="16.375" style="415" customWidth="1"/>
    <col min="98" max="101" width="12" style="33" customWidth="1"/>
    <col min="102" max="102" width="11.75" customWidth="1"/>
    <col min="103" max="103" width="13.75" style="33" customWidth="1"/>
    <col min="104" max="104" width="24.375" style="33" customWidth="1"/>
    <col min="105" max="107" width="16.625" style="33" customWidth="1"/>
    <col min="108" max="108" width="22.75" style="36" customWidth="1"/>
    <col min="109" max="110" width="12" style="31" customWidth="1"/>
    <col min="111" max="112" width="12" style="33" customWidth="1"/>
    <col min="114" max="114" width="15.375" style="33" customWidth="1"/>
    <col min="115" max="115" width="10.125" style="37" customWidth="1"/>
    <col min="116" max="116" width="12" style="37" customWidth="1"/>
    <col min="117" max="117" width="21.125" style="38" bestFit="1" customWidth="1"/>
    <col min="118" max="118" width="11.25" style="38" customWidth="1"/>
    <col min="119" max="119" width="13.75" style="38" customWidth="1"/>
    <col min="120" max="120" width="24.875" style="38" customWidth="1"/>
    <col min="121" max="121" width="9.125" style="38" customWidth="1"/>
    <col min="122" max="122" width="10.625" style="38" customWidth="1"/>
    <col min="123" max="123" width="15.375" style="38" customWidth="1"/>
    <col min="124" max="124" width="9.5" style="38" customWidth="1"/>
    <col min="125" max="125" width="14.5" style="38" customWidth="1"/>
    <col min="126" max="126" width="9" style="20" customWidth="1"/>
    <col min="127" max="16384" width="9" style="20"/>
  </cols>
  <sheetData>
    <row r="1" spans="1:125" s="19" customFormat="1" ht="16.5" customHeight="1" thickBot="1">
      <c r="A1" s="253"/>
      <c r="B1" s="259" t="s">
        <v>2386</v>
      </c>
      <c r="C1" s="259"/>
      <c r="D1" s="259"/>
      <c r="E1" s="257" t="s">
        <v>2384</v>
      </c>
      <c r="F1" s="248"/>
      <c r="G1" s="248"/>
      <c r="H1" s="248"/>
      <c r="I1" s="248"/>
      <c r="J1" s="248"/>
      <c r="K1" s="909" t="s">
        <v>2385</v>
      </c>
      <c r="L1" s="910"/>
      <c r="M1" s="73"/>
      <c r="N1" s="73"/>
      <c r="O1" s="73"/>
      <c r="P1" s="73"/>
      <c r="Q1" s="73"/>
      <c r="R1" s="73"/>
      <c r="S1" s="73"/>
      <c r="T1" s="254" t="s">
        <v>2003</v>
      </c>
      <c r="U1" s="254"/>
      <c r="V1" s="254"/>
      <c r="W1" s="254"/>
      <c r="X1" s="254"/>
      <c r="Y1" s="254"/>
      <c r="Z1" s="254"/>
      <c r="AA1" s="254"/>
      <c r="AB1" s="254"/>
      <c r="AC1" s="254"/>
      <c r="AD1" s="254"/>
      <c r="AE1" s="254"/>
      <c r="AF1" s="255" t="s">
        <v>2004</v>
      </c>
      <c r="AG1" s="255"/>
      <c r="AH1" s="255"/>
      <c r="AI1" s="255"/>
      <c r="AJ1" s="255"/>
      <c r="AK1" s="255"/>
      <c r="AL1" s="255"/>
      <c r="AM1" s="255"/>
      <c r="AN1" s="255"/>
      <c r="AO1" s="255"/>
      <c r="AP1" s="255"/>
      <c r="AQ1" s="255"/>
      <c r="AR1" s="255"/>
      <c r="AS1" s="255"/>
      <c r="AT1" s="256" t="s">
        <v>2005</v>
      </c>
      <c r="AU1" s="256"/>
      <c r="AV1" s="256"/>
      <c r="AW1" s="256"/>
      <c r="AX1" s="256"/>
      <c r="AY1" s="256"/>
      <c r="AZ1" s="256"/>
      <c r="BA1" s="256"/>
      <c r="BB1" s="256"/>
      <c r="BC1" s="256"/>
      <c r="BD1" s="256"/>
      <c r="BE1" s="334"/>
      <c r="BF1" s="334"/>
      <c r="BG1" s="334"/>
      <c r="BH1" s="334"/>
      <c r="BI1" s="334"/>
      <c r="BJ1" s="334"/>
      <c r="BK1" s="334"/>
      <c r="BL1" s="334"/>
      <c r="BM1" s="74" t="s">
        <v>114</v>
      </c>
      <c r="BN1" s="74"/>
      <c r="BO1" s="74"/>
      <c r="BP1" s="74"/>
      <c r="BQ1" s="76"/>
      <c r="BR1" s="74"/>
      <c r="BS1" s="74"/>
      <c r="BT1" s="74"/>
      <c r="BU1" s="76"/>
      <c r="BV1" s="76"/>
      <c r="BW1" s="74"/>
      <c r="BX1" s="74"/>
      <c r="BY1" s="74"/>
      <c r="BZ1" s="74"/>
      <c r="CA1" s="74"/>
      <c r="CB1" s="76"/>
      <c r="CC1" s="76"/>
      <c r="CD1" s="74"/>
      <c r="CE1" s="74"/>
      <c r="CF1" s="74"/>
      <c r="CG1" s="74"/>
      <c r="CH1" s="76"/>
      <c r="CI1" s="76"/>
      <c r="CJ1" s="76"/>
      <c r="CK1" s="76"/>
      <c r="CL1" s="76"/>
      <c r="CM1" s="74"/>
      <c r="CN1" s="74"/>
      <c r="CO1" s="74"/>
      <c r="CP1" s="74"/>
      <c r="CQ1" s="74"/>
      <c r="CR1" s="162"/>
      <c r="CS1" s="162"/>
      <c r="CT1" s="163"/>
      <c r="CU1" s="163"/>
      <c r="CV1" s="163"/>
      <c r="CW1" s="163"/>
      <c r="CX1" s="163"/>
      <c r="CY1" s="163"/>
      <c r="CZ1" s="163"/>
      <c r="DA1" s="163"/>
      <c r="DB1" s="163"/>
      <c r="DC1" s="163"/>
      <c r="DD1" s="163"/>
    </row>
    <row r="2" spans="1:125" s="636" customFormat="1" ht="21" customHeight="1" thickBot="1">
      <c r="A2" s="247" t="s">
        <v>0</v>
      </c>
      <c r="B2" s="258" t="s">
        <v>1</v>
      </c>
      <c r="C2" s="258" t="s">
        <v>2</v>
      </c>
      <c r="D2" s="258" t="s">
        <v>3</v>
      </c>
      <c r="E2" s="248" t="s">
        <v>4</v>
      </c>
      <c r="F2" s="248" t="s">
        <v>1154</v>
      </c>
      <c r="G2" s="248" t="s">
        <v>5</v>
      </c>
      <c r="H2" s="248" t="s">
        <v>6</v>
      </c>
      <c r="I2" s="248" t="s">
        <v>51</v>
      </c>
      <c r="J2" s="248" t="s">
        <v>52</v>
      </c>
      <c r="K2" s="246" t="s">
        <v>55</v>
      </c>
      <c r="L2" s="246" t="s">
        <v>57</v>
      </c>
      <c r="M2" s="247" t="s">
        <v>59</v>
      </c>
      <c r="N2" s="247" t="s">
        <v>115</v>
      </c>
      <c r="O2" s="247" t="s">
        <v>116</v>
      </c>
      <c r="P2" s="247" t="s">
        <v>61</v>
      </c>
      <c r="Q2" s="247" t="s">
        <v>60</v>
      </c>
      <c r="R2" s="247" t="s">
        <v>62</v>
      </c>
      <c r="S2" s="247" t="s">
        <v>1155</v>
      </c>
      <c r="T2" s="628" t="s">
        <v>64</v>
      </c>
      <c r="U2" s="628" t="s">
        <v>65</v>
      </c>
      <c r="V2" s="628" t="s">
        <v>66</v>
      </c>
      <c r="W2" s="628" t="s">
        <v>67</v>
      </c>
      <c r="X2" s="628" t="s">
        <v>1156</v>
      </c>
      <c r="Y2" s="628" t="s">
        <v>68</v>
      </c>
      <c r="Z2" s="628" t="s">
        <v>69</v>
      </c>
      <c r="AA2" s="628" t="s">
        <v>70</v>
      </c>
      <c r="AB2" s="628" t="s">
        <v>71</v>
      </c>
      <c r="AC2" s="628" t="s">
        <v>1290</v>
      </c>
      <c r="AD2" s="628" t="s">
        <v>1291</v>
      </c>
      <c r="AE2" s="628" t="s">
        <v>1292</v>
      </c>
      <c r="AF2" s="623" t="s">
        <v>1293</v>
      </c>
      <c r="AG2" s="623" t="s">
        <v>1294</v>
      </c>
      <c r="AH2" s="623" t="s">
        <v>1295</v>
      </c>
      <c r="AI2" s="623" t="s">
        <v>1296</v>
      </c>
      <c r="AJ2" s="623" t="s">
        <v>1297</v>
      </c>
      <c r="AK2" s="623" t="s">
        <v>1298</v>
      </c>
      <c r="AL2" s="623" t="s">
        <v>1299</v>
      </c>
      <c r="AM2" s="623" t="s">
        <v>1988</v>
      </c>
      <c r="AN2" s="623" t="s">
        <v>1990</v>
      </c>
      <c r="AO2" s="623" t="s">
        <v>2236</v>
      </c>
      <c r="AP2" s="623" t="s">
        <v>2346</v>
      </c>
      <c r="AQ2" s="623" t="s">
        <v>2347</v>
      </c>
      <c r="AR2" s="623" t="s">
        <v>2348</v>
      </c>
      <c r="AS2" s="623" t="s">
        <v>2349</v>
      </c>
      <c r="AT2" s="624" t="s">
        <v>2351</v>
      </c>
      <c r="AU2" s="624" t="s">
        <v>2352</v>
      </c>
      <c r="AV2" s="624" t="s">
        <v>2353</v>
      </c>
      <c r="AW2" s="624" t="s">
        <v>2354</v>
      </c>
      <c r="AX2" s="624" t="s">
        <v>2355</v>
      </c>
      <c r="AY2" s="624" t="s">
        <v>2356</v>
      </c>
      <c r="AZ2" s="624" t="s">
        <v>2357</v>
      </c>
      <c r="BA2" s="624" t="s">
        <v>2358</v>
      </c>
      <c r="BB2" s="624" t="s">
        <v>2359</v>
      </c>
      <c r="BC2" s="624" t="s">
        <v>2360</v>
      </c>
      <c r="BD2" s="624" t="s">
        <v>2361</v>
      </c>
      <c r="BE2" s="625" t="s">
        <v>2362</v>
      </c>
      <c r="BF2" s="625" t="s">
        <v>2366</v>
      </c>
      <c r="BG2" s="625" t="s">
        <v>2367</v>
      </c>
      <c r="BH2" s="625" t="s">
        <v>2369</v>
      </c>
      <c r="BI2" s="626" t="s">
        <v>2371</v>
      </c>
      <c r="BJ2" s="627" t="s">
        <v>2372</v>
      </c>
      <c r="BK2" s="627" t="s">
        <v>2373</v>
      </c>
      <c r="BL2" s="627" t="s">
        <v>2473</v>
      </c>
      <c r="BM2" s="911" t="s">
        <v>2042</v>
      </c>
      <c r="BN2" s="912"/>
      <c r="BO2" s="913"/>
      <c r="BP2" s="915"/>
      <c r="BQ2" s="917" t="s">
        <v>2532</v>
      </c>
      <c r="BR2" s="918" t="s">
        <v>2043</v>
      </c>
      <c r="BS2" s="919"/>
      <c r="BT2" s="905"/>
      <c r="BU2" s="905" t="s">
        <v>76</v>
      </c>
      <c r="BV2" s="896"/>
      <c r="BW2" s="899" t="s">
        <v>2537</v>
      </c>
      <c r="BX2" s="900"/>
      <c r="BY2" s="903" t="s">
        <v>2536</v>
      </c>
      <c r="BZ2" s="904"/>
      <c r="CA2" s="598"/>
      <c r="CB2" s="898" t="s">
        <v>2540</v>
      </c>
      <c r="CC2" s="898"/>
      <c r="CD2" s="891"/>
      <c r="CE2" s="892" t="s">
        <v>1940</v>
      </c>
      <c r="CF2" s="893"/>
      <c r="CG2" s="890"/>
      <c r="CH2" s="629" t="s">
        <v>1884</v>
      </c>
      <c r="CI2" s="630"/>
      <c r="CJ2" s="630"/>
      <c r="CK2" s="630"/>
      <c r="CL2" s="630"/>
      <c r="CM2" s="631"/>
      <c r="CN2" s="632" t="s">
        <v>1940</v>
      </c>
      <c r="CO2" s="633"/>
      <c r="CP2" s="630"/>
      <c r="CQ2" s="630"/>
      <c r="CR2" s="634" t="s">
        <v>7</v>
      </c>
      <c r="CS2" s="635" t="s">
        <v>8</v>
      </c>
      <c r="CT2" s="635" t="s">
        <v>9</v>
      </c>
      <c r="CU2" s="635" t="s">
        <v>10</v>
      </c>
      <c r="CV2" s="635" t="s">
        <v>11</v>
      </c>
      <c r="CW2" s="635" t="s">
        <v>12</v>
      </c>
      <c r="CX2" s="635" t="s">
        <v>13</v>
      </c>
      <c r="CY2" s="635" t="s">
        <v>14</v>
      </c>
      <c r="CZ2" s="635" t="s">
        <v>15</v>
      </c>
      <c r="DA2" s="635"/>
      <c r="DB2" s="635"/>
      <c r="DC2" s="635"/>
      <c r="DD2" s="635"/>
    </row>
    <row r="3" spans="1:125" s="282" customFormat="1" ht="90.75" hidden="1" customHeight="1" thickBot="1">
      <c r="A3" s="340" t="s">
        <v>2393</v>
      </c>
      <c r="B3" s="341" t="s">
        <v>2394</v>
      </c>
      <c r="C3" s="341" t="s">
        <v>2395</v>
      </c>
      <c r="D3" s="341" t="s">
        <v>2396</v>
      </c>
      <c r="E3" s="342" t="s">
        <v>2397</v>
      </c>
      <c r="F3" s="342" t="s">
        <v>2398</v>
      </c>
      <c r="G3" s="342" t="s">
        <v>2399</v>
      </c>
      <c r="H3" s="342" t="s">
        <v>2400</v>
      </c>
      <c r="I3" s="342" t="s">
        <v>2442</v>
      </c>
      <c r="J3" s="342" t="s">
        <v>2441</v>
      </c>
      <c r="K3" s="343" t="s">
        <v>2401</v>
      </c>
      <c r="L3" s="343" t="s">
        <v>2402</v>
      </c>
      <c r="M3" s="340" t="s">
        <v>2504</v>
      </c>
      <c r="N3" s="340" t="s">
        <v>1992</v>
      </c>
      <c r="O3" s="340" t="s">
        <v>2404</v>
      </c>
      <c r="P3" s="340" t="s">
        <v>2406</v>
      </c>
      <c r="Q3" s="340" t="s">
        <v>2408</v>
      </c>
      <c r="R3" s="340" t="s">
        <v>2409</v>
      </c>
      <c r="S3" s="344" t="s">
        <v>2410</v>
      </c>
      <c r="T3" s="345"/>
      <c r="U3" s="345"/>
      <c r="V3" s="345"/>
      <c r="W3" s="345"/>
      <c r="X3" s="345"/>
      <c r="Y3" s="345"/>
      <c r="Z3" s="345"/>
      <c r="AA3" s="345"/>
      <c r="AB3" s="345"/>
      <c r="AC3" s="345"/>
      <c r="AD3" s="345"/>
      <c r="AE3" s="345"/>
      <c r="AF3" s="346"/>
      <c r="AG3" s="346"/>
      <c r="AH3" s="346"/>
      <c r="AI3" s="346"/>
      <c r="AJ3" s="347"/>
      <c r="AK3" s="348"/>
      <c r="AL3" s="341"/>
      <c r="AM3" s="349"/>
      <c r="AN3" s="350"/>
      <c r="AO3" s="350"/>
      <c r="AP3" s="350"/>
      <c r="AQ3" s="350"/>
      <c r="AR3" s="350"/>
      <c r="AS3" s="350"/>
      <c r="AT3" s="351"/>
      <c r="AU3" s="351"/>
      <c r="AV3" s="351"/>
      <c r="AW3" s="352"/>
      <c r="AX3" s="351"/>
      <c r="AY3" s="351"/>
      <c r="AZ3" s="353"/>
      <c r="BA3" s="351"/>
      <c r="BB3" s="351"/>
      <c r="BC3" s="353"/>
      <c r="BD3" s="353"/>
      <c r="BE3" s="353"/>
      <c r="BF3" s="353"/>
      <c r="BG3" s="353"/>
      <c r="BH3" s="353"/>
      <c r="BI3" s="353"/>
      <c r="BJ3" s="353"/>
      <c r="BK3" s="353"/>
      <c r="BL3" s="353"/>
      <c r="BM3" s="914"/>
      <c r="BN3" s="915"/>
      <c r="BO3" s="916"/>
      <c r="BP3" s="915"/>
      <c r="BQ3" s="917"/>
      <c r="BR3" s="920"/>
      <c r="BS3" s="921"/>
      <c r="BT3" s="905"/>
      <c r="BU3" s="905" t="s">
        <v>76</v>
      </c>
      <c r="BV3" s="897"/>
      <c r="BW3" s="901"/>
      <c r="BX3" s="902"/>
      <c r="BY3" s="687"/>
      <c r="BZ3" s="688"/>
      <c r="CA3" s="466"/>
      <c r="CB3" s="898" t="s">
        <v>2540</v>
      </c>
      <c r="CC3" s="898"/>
      <c r="CD3" s="891"/>
      <c r="CE3" s="894"/>
      <c r="CF3" s="895"/>
      <c r="CG3" s="890"/>
      <c r="CH3" s="373" t="s">
        <v>2544</v>
      </c>
      <c r="CI3" s="372"/>
      <c r="CJ3" s="372"/>
      <c r="CK3" s="373" t="s">
        <v>2543</v>
      </c>
      <c r="CL3" s="378" t="s">
        <v>1617</v>
      </c>
      <c r="CM3" s="379"/>
      <c r="CN3" s="385"/>
      <c r="CO3" s="382"/>
      <c r="CP3" s="372"/>
      <c r="CQ3" s="372"/>
      <c r="CR3" s="280"/>
      <c r="CS3" s="281"/>
      <c r="CT3" s="281"/>
      <c r="CU3" s="281"/>
      <c r="CV3" s="281"/>
      <c r="CW3" s="281"/>
      <c r="CX3" s="281"/>
      <c r="CY3" s="281"/>
      <c r="CZ3" s="281"/>
      <c r="DA3" s="281"/>
      <c r="DB3" s="281"/>
      <c r="DC3" s="281"/>
      <c r="DD3" s="281"/>
    </row>
    <row r="4" spans="1:125" s="672" customFormat="1" ht="87" customHeight="1" thickBot="1">
      <c r="A4" s="335" t="s">
        <v>2318</v>
      </c>
      <c r="B4" s="336" t="s">
        <v>2320</v>
      </c>
      <c r="C4" s="336" t="s">
        <v>2322</v>
      </c>
      <c r="D4" s="336" t="s">
        <v>2324</v>
      </c>
      <c r="E4" s="337" t="s">
        <v>22</v>
      </c>
      <c r="F4" s="337" t="s">
        <v>23</v>
      </c>
      <c r="G4" s="337" t="s">
        <v>2326</v>
      </c>
      <c r="H4" s="337" t="s">
        <v>2328</v>
      </c>
      <c r="I4" s="337" t="s">
        <v>25</v>
      </c>
      <c r="J4" s="337" t="s">
        <v>1896</v>
      </c>
      <c r="K4" s="338" t="s">
        <v>2330</v>
      </c>
      <c r="L4" s="338" t="s">
        <v>2332</v>
      </c>
      <c r="M4" s="335" t="s">
        <v>2491</v>
      </c>
      <c r="N4" s="335" t="s">
        <v>1989</v>
      </c>
      <c r="O4" s="335" t="s">
        <v>1991</v>
      </c>
      <c r="P4" s="335" t="s">
        <v>2334</v>
      </c>
      <c r="Q4" s="335" t="s">
        <v>2335</v>
      </c>
      <c r="R4" s="335" t="s">
        <v>2337</v>
      </c>
      <c r="S4" s="339" t="s">
        <v>2338</v>
      </c>
      <c r="T4" s="675" t="s">
        <v>2910</v>
      </c>
      <c r="U4" s="675" t="s">
        <v>2921</v>
      </c>
      <c r="V4" s="675" t="s">
        <v>3000</v>
      </c>
      <c r="W4" s="675" t="s">
        <v>3001</v>
      </c>
      <c r="X4" s="676" t="s">
        <v>2967</v>
      </c>
      <c r="Y4" s="676" t="s">
        <v>2968</v>
      </c>
      <c r="Z4" s="676" t="s">
        <v>2969</v>
      </c>
      <c r="AA4" s="676" t="s">
        <v>2970</v>
      </c>
      <c r="AB4" s="676" t="s">
        <v>2911</v>
      </c>
      <c r="AC4" s="676" t="s">
        <v>2920</v>
      </c>
      <c r="AD4" s="676" t="s">
        <v>2971</v>
      </c>
      <c r="AE4" s="677" t="s">
        <v>3014</v>
      </c>
      <c r="AF4" s="678" t="s">
        <v>2972</v>
      </c>
      <c r="AG4" s="678" t="s">
        <v>2973</v>
      </c>
      <c r="AH4" s="678" t="s">
        <v>2974</v>
      </c>
      <c r="AI4" s="678" t="s">
        <v>2975</v>
      </c>
      <c r="AJ4" s="678" t="s">
        <v>2976</v>
      </c>
      <c r="AK4" s="678" t="s">
        <v>2977</v>
      </c>
      <c r="AL4" s="678" t="s">
        <v>2978</v>
      </c>
      <c r="AM4" s="678" t="s">
        <v>2979</v>
      </c>
      <c r="AN4" s="678" t="s">
        <v>2980</v>
      </c>
      <c r="AO4" s="678" t="s">
        <v>2981</v>
      </c>
      <c r="AP4" s="678" t="s">
        <v>2982</v>
      </c>
      <c r="AQ4" s="679" t="s">
        <v>2909</v>
      </c>
      <c r="AR4" s="678" t="s">
        <v>2983</v>
      </c>
      <c r="AS4" s="680" t="s">
        <v>3013</v>
      </c>
      <c r="AT4" s="681" t="s">
        <v>2984</v>
      </c>
      <c r="AU4" s="681" t="s">
        <v>2985</v>
      </c>
      <c r="AV4" s="681" t="s">
        <v>2986</v>
      </c>
      <c r="AW4" s="681" t="s">
        <v>2987</v>
      </c>
      <c r="AX4" s="681" t="s">
        <v>2988</v>
      </c>
      <c r="AY4" s="681" t="s">
        <v>2989</v>
      </c>
      <c r="AZ4" s="682" t="s">
        <v>2990</v>
      </c>
      <c r="BA4" s="681" t="s">
        <v>2996</v>
      </c>
      <c r="BB4" s="681" t="s">
        <v>3055</v>
      </c>
      <c r="BC4" s="681" t="s">
        <v>2991</v>
      </c>
      <c r="BD4" s="683" t="s">
        <v>3011</v>
      </c>
      <c r="BE4" s="684" t="s">
        <v>2993</v>
      </c>
      <c r="BF4" s="684" t="s">
        <v>2994</v>
      </c>
      <c r="BG4" s="684" t="s">
        <v>2995</v>
      </c>
      <c r="BH4" s="684" t="s">
        <v>2913</v>
      </c>
      <c r="BI4" s="685" t="s">
        <v>2915</v>
      </c>
      <c r="BJ4" s="686" t="s">
        <v>2916</v>
      </c>
      <c r="BK4" s="686" t="s">
        <v>2917</v>
      </c>
      <c r="BL4" s="686" t="s">
        <v>2918</v>
      </c>
      <c r="BM4" s="653" t="s">
        <v>3015</v>
      </c>
      <c r="BN4" s="654" t="s">
        <v>3016</v>
      </c>
      <c r="BO4" s="655" t="s">
        <v>2531</v>
      </c>
      <c r="BP4" s="654" t="s">
        <v>3019</v>
      </c>
      <c r="BQ4" s="657" t="s">
        <v>117</v>
      </c>
      <c r="BR4" s="656" t="s">
        <v>1890</v>
      </c>
      <c r="BS4" s="657" t="s">
        <v>118</v>
      </c>
      <c r="BT4" s="656" t="s">
        <v>3021</v>
      </c>
      <c r="BU4" s="658" t="s">
        <v>2534</v>
      </c>
      <c r="BV4" s="659" t="s">
        <v>119</v>
      </c>
      <c r="BW4" s="653" t="s">
        <v>120</v>
      </c>
      <c r="BX4" s="660" t="s">
        <v>2541</v>
      </c>
      <c r="BY4" s="653" t="s">
        <v>122</v>
      </c>
      <c r="BZ4" s="660" t="s">
        <v>121</v>
      </c>
      <c r="CA4" s="661" t="s">
        <v>3056</v>
      </c>
      <c r="CB4" s="661" t="s">
        <v>2539</v>
      </c>
      <c r="CC4" s="662" t="s">
        <v>2392</v>
      </c>
      <c r="CD4" s="663" t="s">
        <v>124</v>
      </c>
      <c r="CE4" s="664" t="s">
        <v>123</v>
      </c>
      <c r="CF4" s="665" t="s">
        <v>2997</v>
      </c>
      <c r="CG4" s="666" t="s">
        <v>2998</v>
      </c>
      <c r="CH4" s="667" t="s">
        <v>78</v>
      </c>
      <c r="CI4" s="667" t="s">
        <v>1924</v>
      </c>
      <c r="CJ4" s="667" t="s">
        <v>1925</v>
      </c>
      <c r="CK4" s="667" t="s">
        <v>1923</v>
      </c>
      <c r="CL4" s="668" t="s">
        <v>2545</v>
      </c>
      <c r="CM4" s="669" t="s">
        <v>125</v>
      </c>
      <c r="CN4" s="670" t="s">
        <v>2999</v>
      </c>
      <c r="CO4" s="671" t="s">
        <v>126</v>
      </c>
      <c r="CP4" s="667" t="s">
        <v>127</v>
      </c>
      <c r="CQ4" s="667" t="s">
        <v>2782</v>
      </c>
      <c r="CR4" s="299" t="s">
        <v>28</v>
      </c>
      <c r="CS4" s="300" t="s">
        <v>29</v>
      </c>
      <c r="CT4" s="300" t="s">
        <v>129</v>
      </c>
      <c r="CU4" s="300" t="s">
        <v>30</v>
      </c>
      <c r="CV4" s="300" t="s">
        <v>31</v>
      </c>
      <c r="CW4" s="300" t="s">
        <v>32</v>
      </c>
      <c r="CX4" s="300" t="s">
        <v>33</v>
      </c>
      <c r="CY4" s="300" t="s">
        <v>34</v>
      </c>
      <c r="CZ4" s="300" t="s">
        <v>35</v>
      </c>
      <c r="DA4" s="300"/>
      <c r="DB4" s="300"/>
      <c r="DC4" s="300"/>
      <c r="DD4" s="300" t="s">
        <v>36</v>
      </c>
    </row>
    <row r="5" spans="1:125" s="301" customFormat="1" ht="27" customHeight="1" thickBot="1">
      <c r="A5" s="295" t="s">
        <v>16</v>
      </c>
      <c r="B5" s="296" t="s">
        <v>16</v>
      </c>
      <c r="C5" s="296" t="s">
        <v>16</v>
      </c>
      <c r="D5" s="296" t="s">
        <v>18</v>
      </c>
      <c r="E5" s="297" t="s">
        <v>16</v>
      </c>
      <c r="F5" s="297" t="s">
        <v>16</v>
      </c>
      <c r="G5" s="297" t="s">
        <v>2469</v>
      </c>
      <c r="H5" s="297" t="s">
        <v>16</v>
      </c>
      <c r="I5" s="297" t="s">
        <v>17</v>
      </c>
      <c r="J5" s="297" t="s">
        <v>17</v>
      </c>
      <c r="K5" s="298" t="s">
        <v>19</v>
      </c>
      <c r="L5" s="298" t="s">
        <v>19</v>
      </c>
      <c r="M5" s="295" t="s">
        <v>17</v>
      </c>
      <c r="N5" s="295" t="s">
        <v>17</v>
      </c>
      <c r="O5" s="295" t="s">
        <v>17</v>
      </c>
      <c r="P5" s="295" t="s">
        <v>17</v>
      </c>
      <c r="Q5" s="295" t="s">
        <v>2336</v>
      </c>
      <c r="R5" s="295" t="s">
        <v>17</v>
      </c>
      <c r="S5" s="295" t="s">
        <v>17</v>
      </c>
      <c r="T5" s="639" t="s">
        <v>17</v>
      </c>
      <c r="U5" s="639" t="s">
        <v>17</v>
      </c>
      <c r="V5" s="639" t="s">
        <v>17</v>
      </c>
      <c r="W5" s="639" t="s">
        <v>17</v>
      </c>
      <c r="X5" s="639" t="s">
        <v>17</v>
      </c>
      <c r="Y5" s="639" t="s">
        <v>17</v>
      </c>
      <c r="Z5" s="639" t="s">
        <v>17</v>
      </c>
      <c r="AA5" s="639" t="s">
        <v>17</v>
      </c>
      <c r="AB5" s="639" t="s">
        <v>17</v>
      </c>
      <c r="AC5" s="639" t="s">
        <v>17</v>
      </c>
      <c r="AD5" s="639" t="s">
        <v>17</v>
      </c>
      <c r="AE5" s="639" t="s">
        <v>18</v>
      </c>
      <c r="AF5" s="640" t="s">
        <v>17</v>
      </c>
      <c r="AG5" s="640" t="s">
        <v>17</v>
      </c>
      <c r="AH5" s="640" t="s">
        <v>17</v>
      </c>
      <c r="AI5" s="640" t="s">
        <v>56</v>
      </c>
      <c r="AJ5" s="640" t="s">
        <v>17</v>
      </c>
      <c r="AK5" s="640" t="s">
        <v>56</v>
      </c>
      <c r="AL5" s="640" t="s">
        <v>56</v>
      </c>
      <c r="AM5" s="640" t="s">
        <v>56</v>
      </c>
      <c r="AN5" s="640" t="s">
        <v>56</v>
      </c>
      <c r="AO5" s="640" t="s">
        <v>17</v>
      </c>
      <c r="AP5" s="640" t="s">
        <v>17</v>
      </c>
      <c r="AQ5" s="640" t="s">
        <v>17</v>
      </c>
      <c r="AR5" s="640" t="s">
        <v>2336</v>
      </c>
      <c r="AS5" s="640" t="s">
        <v>18</v>
      </c>
      <c r="AT5" s="641" t="s">
        <v>17</v>
      </c>
      <c r="AU5" s="641" t="s">
        <v>17</v>
      </c>
      <c r="AV5" s="641" t="s">
        <v>17</v>
      </c>
      <c r="AW5" s="641" t="s">
        <v>17</v>
      </c>
      <c r="AX5" s="641" t="s">
        <v>17</v>
      </c>
      <c r="AY5" s="641" t="s">
        <v>17</v>
      </c>
      <c r="AZ5" s="641" t="s">
        <v>56</v>
      </c>
      <c r="BA5" s="641" t="s">
        <v>56</v>
      </c>
      <c r="BB5" s="641"/>
      <c r="BC5" s="641" t="s">
        <v>56</v>
      </c>
      <c r="BD5" s="641" t="s">
        <v>18</v>
      </c>
      <c r="BE5" s="642" t="s">
        <v>56</v>
      </c>
      <c r="BF5" s="642" t="s">
        <v>56</v>
      </c>
      <c r="BG5" s="642" t="s">
        <v>17</v>
      </c>
      <c r="BH5" s="642" t="s">
        <v>56</v>
      </c>
      <c r="BI5" s="622" t="s">
        <v>56</v>
      </c>
      <c r="BJ5" s="643" t="s">
        <v>2336</v>
      </c>
      <c r="BK5" s="643" t="s">
        <v>18</v>
      </c>
      <c r="BL5" s="643" t="s">
        <v>18</v>
      </c>
      <c r="BM5" s="906"/>
      <c r="BN5" s="907"/>
      <c r="BO5" s="908"/>
      <c r="BP5" s="355" t="s">
        <v>56</v>
      </c>
      <c r="BQ5" s="359" t="s">
        <v>17</v>
      </c>
      <c r="BR5" s="355" t="s">
        <v>56</v>
      </c>
      <c r="BS5" s="361" t="s">
        <v>17</v>
      </c>
      <c r="BT5" s="361"/>
      <c r="BU5" s="361"/>
      <c r="BV5" s="364"/>
      <c r="BW5" s="906" t="s">
        <v>2044</v>
      </c>
      <c r="BX5" s="908"/>
      <c r="BY5" s="692" t="s">
        <v>17</v>
      </c>
      <c r="BZ5" s="693" t="s">
        <v>17</v>
      </c>
      <c r="CA5" s="674" t="s">
        <v>56</v>
      </c>
      <c r="CB5" s="696" t="s">
        <v>17</v>
      </c>
      <c r="CC5" s="697"/>
      <c r="CD5" s="673" t="s">
        <v>17</v>
      </c>
      <c r="CE5" s="698" t="s">
        <v>17</v>
      </c>
      <c r="CF5" s="699" t="s">
        <v>56</v>
      </c>
      <c r="CG5" s="368" t="s">
        <v>56</v>
      </c>
      <c r="CH5" s="374" t="s">
        <v>17</v>
      </c>
      <c r="CI5" s="375" t="s">
        <v>17</v>
      </c>
      <c r="CJ5" s="375" t="s">
        <v>17</v>
      </c>
      <c r="CK5" s="375" t="s">
        <v>17</v>
      </c>
      <c r="CL5" s="375"/>
      <c r="CM5" s="380" t="s">
        <v>56</v>
      </c>
      <c r="CN5" s="386" t="s">
        <v>56</v>
      </c>
      <c r="CO5" s="383" t="s">
        <v>56</v>
      </c>
      <c r="CP5" s="375" t="s">
        <v>56</v>
      </c>
      <c r="CQ5" s="504"/>
      <c r="CR5" s="299"/>
      <c r="CS5" s="300"/>
      <c r="CT5" s="300"/>
      <c r="CU5" s="300"/>
      <c r="CV5" s="300"/>
      <c r="CW5" s="300"/>
      <c r="CX5" s="300"/>
      <c r="CY5" s="300"/>
      <c r="CZ5" s="300"/>
      <c r="DA5" s="300"/>
      <c r="DB5" s="300"/>
      <c r="DC5" s="300"/>
      <c r="DD5" s="300"/>
    </row>
    <row r="6" spans="1:125" s="265" customFormat="1" ht="48.75" customHeight="1" thickTop="1" thickBot="1">
      <c r="A6" s="260" t="s">
        <v>20</v>
      </c>
      <c r="B6" s="250" t="s">
        <v>2320</v>
      </c>
      <c r="C6" s="250" t="s">
        <v>2322</v>
      </c>
      <c r="D6" s="250" t="s">
        <v>27</v>
      </c>
      <c r="E6" s="251" t="s">
        <v>22</v>
      </c>
      <c r="F6" s="251" t="s">
        <v>23</v>
      </c>
      <c r="G6" s="251" t="s">
        <v>128</v>
      </c>
      <c r="H6" s="251" t="s">
        <v>24</v>
      </c>
      <c r="I6" s="251" t="s">
        <v>25</v>
      </c>
      <c r="J6" s="251" t="s">
        <v>26</v>
      </c>
      <c r="K6" s="252" t="s">
        <v>2330</v>
      </c>
      <c r="L6" s="252" t="s">
        <v>2332</v>
      </c>
      <c r="M6" s="260" t="s">
        <v>2530</v>
      </c>
      <c r="N6" s="260" t="s">
        <v>2379</v>
      </c>
      <c r="O6" s="260" t="s">
        <v>2380</v>
      </c>
      <c r="P6" s="260" t="s">
        <v>53</v>
      </c>
      <c r="Q6" s="260" t="s">
        <v>2490</v>
      </c>
      <c r="R6" s="260" t="s">
        <v>2381</v>
      </c>
      <c r="S6" s="260" t="s">
        <v>2382</v>
      </c>
      <c r="T6" s="261" t="s">
        <v>2926</v>
      </c>
      <c r="U6" s="261" t="s">
        <v>2927</v>
      </c>
      <c r="V6" s="261" t="s">
        <v>2925</v>
      </c>
      <c r="W6" s="261" t="s">
        <v>3002</v>
      </c>
      <c r="X6" s="249" t="s">
        <v>2929</v>
      </c>
      <c r="Y6" s="249" t="s">
        <v>2928</v>
      </c>
      <c r="Z6" s="249" t="s">
        <v>2930</v>
      </c>
      <c r="AA6" s="249" t="s">
        <v>2931</v>
      </c>
      <c r="AB6" s="249" t="s">
        <v>2932</v>
      </c>
      <c r="AC6" s="249" t="s">
        <v>2933</v>
      </c>
      <c r="AD6" s="249" t="s">
        <v>2934</v>
      </c>
      <c r="AE6" s="249" t="s">
        <v>2949</v>
      </c>
      <c r="AF6" s="644" t="s">
        <v>2935</v>
      </c>
      <c r="AG6" s="644" t="s">
        <v>2936</v>
      </c>
      <c r="AH6" s="644" t="s">
        <v>2937</v>
      </c>
      <c r="AI6" s="644" t="s">
        <v>2938</v>
      </c>
      <c r="AJ6" s="644" t="s">
        <v>2939</v>
      </c>
      <c r="AK6" s="644" t="s">
        <v>2940</v>
      </c>
      <c r="AL6" s="644" t="s">
        <v>2941</v>
      </c>
      <c r="AM6" s="644" t="s">
        <v>2943</v>
      </c>
      <c r="AN6" s="644" t="s">
        <v>2942</v>
      </c>
      <c r="AO6" s="644" t="s">
        <v>2944</v>
      </c>
      <c r="AP6" s="644" t="s">
        <v>2945</v>
      </c>
      <c r="AQ6" s="644" t="s">
        <v>2946</v>
      </c>
      <c r="AR6" s="644" t="s">
        <v>2947</v>
      </c>
      <c r="AS6" s="645" t="s">
        <v>2948</v>
      </c>
      <c r="AT6" s="646" t="s">
        <v>2952</v>
      </c>
      <c r="AU6" s="646" t="s">
        <v>2953</v>
      </c>
      <c r="AV6" s="646" t="s">
        <v>2954</v>
      </c>
      <c r="AW6" s="646" t="s">
        <v>2955</v>
      </c>
      <c r="AX6" s="646" t="s">
        <v>2956</v>
      </c>
      <c r="AY6" s="646" t="s">
        <v>2957</v>
      </c>
      <c r="AZ6" s="652" t="s">
        <v>2951</v>
      </c>
      <c r="BA6" s="652" t="s">
        <v>2950</v>
      </c>
      <c r="BB6" s="652" t="s">
        <v>3054</v>
      </c>
      <c r="BC6" s="652" t="s">
        <v>2958</v>
      </c>
      <c r="BD6" s="646" t="s">
        <v>3012</v>
      </c>
      <c r="BE6" s="647" t="s">
        <v>2965</v>
      </c>
      <c r="BF6" s="647" t="s">
        <v>2959</v>
      </c>
      <c r="BG6" s="647" t="s">
        <v>2960</v>
      </c>
      <c r="BH6" s="647" t="s">
        <v>2966</v>
      </c>
      <c r="BI6" s="648" t="s">
        <v>2961</v>
      </c>
      <c r="BJ6" s="649" t="s">
        <v>2962</v>
      </c>
      <c r="BK6" s="649" t="s">
        <v>2963</v>
      </c>
      <c r="BL6" s="691" t="s">
        <v>2964</v>
      </c>
      <c r="BM6" s="356" t="s">
        <v>3017</v>
      </c>
      <c r="BN6" s="357" t="s">
        <v>3018</v>
      </c>
      <c r="BO6" s="358" t="s">
        <v>2531</v>
      </c>
      <c r="BP6" s="354" t="s">
        <v>3020</v>
      </c>
      <c r="BQ6" s="360" t="s">
        <v>2533</v>
      </c>
      <c r="BR6" s="362" t="s">
        <v>2717</v>
      </c>
      <c r="BS6" s="360" t="s">
        <v>1627</v>
      </c>
      <c r="BT6" s="363" t="s">
        <v>3022</v>
      </c>
      <c r="BU6" s="388" t="s">
        <v>76</v>
      </c>
      <c r="BV6" s="365" t="s">
        <v>1620</v>
      </c>
      <c r="BW6" s="356" t="s">
        <v>1941</v>
      </c>
      <c r="BX6" s="358" t="s">
        <v>2535</v>
      </c>
      <c r="BY6" s="689" t="s">
        <v>122</v>
      </c>
      <c r="BZ6" s="690" t="s">
        <v>1621</v>
      </c>
      <c r="CA6" s="389" t="s">
        <v>3057</v>
      </c>
      <c r="CB6" s="389" t="s">
        <v>2540</v>
      </c>
      <c r="CC6" s="366" t="s">
        <v>2538</v>
      </c>
      <c r="CD6" s="367" t="s">
        <v>124</v>
      </c>
      <c r="CE6" s="370" t="s">
        <v>123</v>
      </c>
      <c r="CF6" s="371" t="s">
        <v>1942</v>
      </c>
      <c r="CG6" s="369" t="s">
        <v>1913</v>
      </c>
      <c r="CH6" s="376" t="s">
        <v>1914</v>
      </c>
      <c r="CI6" s="377" t="s">
        <v>1924</v>
      </c>
      <c r="CJ6" s="377" t="s">
        <v>1925</v>
      </c>
      <c r="CK6" s="376" t="s">
        <v>1926</v>
      </c>
      <c r="CL6" s="390" t="s">
        <v>2542</v>
      </c>
      <c r="CM6" s="381" t="s">
        <v>1622</v>
      </c>
      <c r="CN6" s="387" t="s">
        <v>1623</v>
      </c>
      <c r="CO6" s="384" t="s">
        <v>1624</v>
      </c>
      <c r="CP6" s="377" t="s">
        <v>1625</v>
      </c>
      <c r="CQ6" s="461" t="s">
        <v>2782</v>
      </c>
      <c r="CR6" s="262" t="s">
        <v>28</v>
      </c>
      <c r="CS6" s="262" t="s">
        <v>29</v>
      </c>
      <c r="CT6" s="262" t="s">
        <v>129</v>
      </c>
      <c r="CU6" s="262" t="s">
        <v>30</v>
      </c>
      <c r="CV6" s="262" t="s">
        <v>31</v>
      </c>
      <c r="CW6" s="262" t="s">
        <v>32</v>
      </c>
      <c r="CX6" s="262" t="s">
        <v>33</v>
      </c>
      <c r="CY6" s="262" t="s">
        <v>34</v>
      </c>
      <c r="CZ6" s="263" t="s">
        <v>35</v>
      </c>
      <c r="DA6" s="761" t="s">
        <v>3110</v>
      </c>
      <c r="DB6" s="761" t="s">
        <v>3111</v>
      </c>
      <c r="DC6" s="761" t="s">
        <v>3112</v>
      </c>
      <c r="DD6" s="264" t="s">
        <v>36</v>
      </c>
    </row>
    <row r="7" spans="1:125">
      <c r="A7" s="394" t="s">
        <v>2388</v>
      </c>
      <c r="B7" s="394" t="s">
        <v>270</v>
      </c>
      <c r="C7" s="400" t="s">
        <v>270</v>
      </c>
      <c r="D7" s="400" t="s">
        <v>2294</v>
      </c>
      <c r="E7" s="535" t="s">
        <v>2707</v>
      </c>
      <c r="F7" s="400" t="s">
        <v>406</v>
      </c>
      <c r="G7" s="535" t="str">
        <f>VLOOKUP(WWWW[[#This Row],[Site Name]],SiteDB6[[Site Name]:[Location Type]],8,FALSE)</f>
        <v>Camp</v>
      </c>
      <c r="H7" s="400" t="s">
        <v>416</v>
      </c>
      <c r="I7" s="402">
        <v>1249</v>
      </c>
      <c r="J7" s="402">
        <v>4717</v>
      </c>
      <c r="K7" s="408" t="s">
        <v>2674</v>
      </c>
      <c r="L7" s="409" t="s">
        <v>2675</v>
      </c>
      <c r="M7" s="402">
        <v>965</v>
      </c>
      <c r="N7" s="402"/>
      <c r="O7" s="402"/>
      <c r="P7" s="402" t="s">
        <v>2676</v>
      </c>
      <c r="Q7" s="401" t="s">
        <v>42</v>
      </c>
      <c r="R7" s="402">
        <v>13</v>
      </c>
      <c r="S7" s="402">
        <v>2</v>
      </c>
      <c r="T7" s="402"/>
      <c r="U7" s="402">
        <v>6</v>
      </c>
      <c r="V7" s="402">
        <v>756000</v>
      </c>
      <c r="W7" s="402">
        <v>978530</v>
      </c>
      <c r="X7" s="402">
        <v>4</v>
      </c>
      <c r="Y7" s="402">
        <v>2</v>
      </c>
      <c r="Z7" s="402">
        <v>4</v>
      </c>
      <c r="AA7" s="402"/>
      <c r="AB7" s="402"/>
      <c r="AC7" s="402"/>
      <c r="AD7" s="402"/>
      <c r="AE7" s="637"/>
      <c r="AF7" s="402">
        <v>169</v>
      </c>
      <c r="AG7" s="402">
        <v>178</v>
      </c>
      <c r="AH7" s="402">
        <v>7</v>
      </c>
      <c r="AI7" s="404"/>
      <c r="AJ7" s="402"/>
      <c r="AK7" s="402">
        <v>0.37</v>
      </c>
      <c r="AL7" s="402">
        <v>0.34</v>
      </c>
      <c r="AM7" s="402">
        <v>0.37</v>
      </c>
      <c r="AN7" s="402">
        <v>0.34</v>
      </c>
      <c r="AO7" s="402">
        <v>24</v>
      </c>
      <c r="AP7" s="402">
        <v>69</v>
      </c>
      <c r="AQ7" s="402">
        <v>4</v>
      </c>
      <c r="AR7" s="402" t="s">
        <v>42</v>
      </c>
      <c r="AS7" s="650"/>
      <c r="AT7" s="402"/>
      <c r="AU7" s="402"/>
      <c r="AV7" s="402"/>
      <c r="AW7" s="402"/>
      <c r="AX7" s="402">
        <v>1244</v>
      </c>
      <c r="AY7" s="402">
        <v>2423</v>
      </c>
      <c r="AZ7" s="402"/>
      <c r="BA7" s="402"/>
      <c r="BB7" s="402"/>
      <c r="BC7" s="404">
        <v>1</v>
      </c>
      <c r="BD7" s="650"/>
      <c r="BE7" s="404">
        <v>0.71</v>
      </c>
      <c r="BF7" s="404"/>
      <c r="BG7" s="402"/>
      <c r="BH7" s="404"/>
      <c r="BI7" s="404">
        <v>0.01</v>
      </c>
      <c r="BJ7" s="399"/>
      <c r="BK7" s="650"/>
      <c r="BL7" s="650"/>
      <c r="BM7" s="405">
        <f>IFERROR(WWWW[[#This Row],['#_Water samples _passed_at_water source]]/WWWW[[#This Row],['#_Water samples_Tested_at_water_source]],"no test")</f>
        <v>0.5</v>
      </c>
      <c r="BN7" s="404">
        <f>IFERROR(WWWW[[#This Row],['#_Water samples _passed_at_HH]]/WWWW[[#This Row],['#_Water samples_Tested_at_HH]],"no test")</f>
        <v>0</v>
      </c>
      <c r="BO7" s="403" t="str">
        <f>IF(AND(WWWW[[#This Row],[%of Water samples which passed at water source]]="no test",WWWW[[#This Row],[%Water samples which passed at HH]]="no test"),"No Test","Tested")</f>
        <v>Tested</v>
      </c>
      <c r="BP7"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0.11871952512189951</v>
      </c>
      <c r="BQ7" s="401">
        <f>WWWW[[#This Row],[Access to safe/improved water through improved water sources]]*WWWW[[#This Row],[Total PoP ]]</f>
        <v>560</v>
      </c>
      <c r="BR7" s="404">
        <f>IF((WWWW[[#This Row],['#_litres_of_water_stored_in_ponds]]/90/15)/WWWW[[#This Row],[Total PoP ]]&gt;1,1,(WWWW[[#This Row],['#_litres_of_water_stored_in_ponds]]/90/15)/WWWW[[#This Row],[Total PoP ]])</f>
        <v>0.15366483719250307</v>
      </c>
      <c r="BS7" s="401">
        <f>WWWW[[#This Row],[% Access to unimproved water points]]*WWWW[[#This Row],[Total PoP ]]</f>
        <v>724.83703703703702</v>
      </c>
      <c r="BT7" s="404">
        <f>IF(WWWW[[#This Row],[Access to safe/improved water through improved water sources]]+WWWW[[#This Row],[% Access to unimproved water points]]&gt;1,1,WWWW[[#This Row],[Access to safe/improved water through improved water sources]]+WWWW[[#This Row],[% Access to unimproved water points]])</f>
        <v>0.27238436231440255</v>
      </c>
      <c r="BU7"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1284.8370370370371</v>
      </c>
      <c r="BV7" s="401">
        <f>WWWW[[#This Row],[HRP1]]/500</f>
        <v>2.5696740740740744</v>
      </c>
      <c r="BW7" s="406">
        <f>1-WWWW[[#This Row],[% HRP1]]</f>
        <v>0.72761563768559745</v>
      </c>
      <c r="BX7" s="401">
        <f>WWWW[[#This Row],[%equitable and continuous access to sufficient quantity of safe drinking and domestic water''s GAP]]*WWWW[[#This Row],[Total PoP ]]</f>
        <v>3432.1629629629633</v>
      </c>
      <c r="BY7" s="403">
        <f>ROUND(IF(WWWW[[#This Row],[Total PoP ]]&lt;500,1,WWWW[[#This Row],[Total PoP ]]/500),0)</f>
        <v>9</v>
      </c>
      <c r="BZ7" s="403">
        <f>IF(WWWW[[#This Row],[Total required water points]]-WWWW[[#This Row],['#Water points coverage]]&lt;0,0,WWWW[[#This Row],[Total required water points]]-WWWW[[#This Row],['#Water points coverage]])</f>
        <v>6.430325925925926</v>
      </c>
      <c r="CA7" s="404">
        <f>WWWW[[#This Row],[HRP2]]/WWWW[[#This Row],[Total PoP ]]</f>
        <v>0.87534449862200547</v>
      </c>
      <c r="CB7"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4129</v>
      </c>
      <c r="CC7" s="403">
        <f>IF(WWWW[[#This Row],['#_of_latrines_in_TLS/CFS]]*50&gt;WWWW[[#This Row],['#_students at TLS_CFS]],WWWW[[#This Row],['#_students at TLS_CFS]],WWWW[[#This Row],['#_of_latrines_in_TLS/CFS]]*50)</f>
        <v>200</v>
      </c>
      <c r="CD7" s="403">
        <f>ROUND(IF(WWWW[[#This Row],[Location Type 1]]="camp",WWWW[[#This Row],[Total PoP ]]/20),0)</f>
        <v>236</v>
      </c>
      <c r="CE7" s="403">
        <f>IF(WWWW[[#This Row],[Total required Latrines]]-WWWW[[#This Row],['#_Existing_latrines]]&lt;0,0,WWWW[[#This Row],[Total required Latrines]]-WWWW[[#This Row],['#_Existing_latrines]])</f>
        <v>58</v>
      </c>
      <c r="CF7" s="72">
        <f>1-WWWW[[#This Row],[% HRP2]]</f>
        <v>0.12465550137799453</v>
      </c>
      <c r="CG7" s="405">
        <f>IF(WWWW[[#This Row],['#_Existing_latrines]]="","NA",(WWWW[[#This Row],['#_Existing_latrines]]-WWWW[[#This Row],['#_Functional_adult_latrines]])/WWWW[[#This Row],['#_Existing_latrines]])</f>
        <v>5.0561797752808987E-2</v>
      </c>
      <c r="CH7"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7"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4717</v>
      </c>
      <c r="CJ7" s="403">
        <f>WWWW[[#This Row],['#_of_affected_women_and_girls_receiving_a_sufficient_quantity_of_sanitary_pads]]</f>
        <v>2423</v>
      </c>
      <c r="CK7" s="403">
        <f>IF(WWWW[[#This Row],['# People with access to soap]]&gt;WWWW[[#This Row],['# People with access to Sanity Pads]],WWWW[[#This Row],['# People with access to soap]],WWWW[[#This Row],['# People with access to Sanity Pads]])</f>
        <v>4717</v>
      </c>
      <c r="CL7" s="403">
        <f>IF(WWWW[[#This Row],['# people reached by regular dedicated hygiene promotion_5]]&gt;WWWW[[#This Row],['# People received regular supply of hygiene items_6]],WWWW[[#This Row],['# people reached by regular dedicated hygiene promotion_5]],WWWW[[#This Row],['# People received regular supply of hygiene items_6]])</f>
        <v>4717</v>
      </c>
      <c r="CM7" s="406">
        <f>IF(WWWW[[#This Row],[HRP3]]/WWWW[[#This Row],[Total PoP ]]&gt;100%,100%,WWWW[[#This Row],[HRP3]]/WWWW[[#This Row],[Total PoP ]])</f>
        <v>1</v>
      </c>
      <c r="CN7" s="405">
        <f>1-WWWW[[#This Row],[Hygiene Coverage%]]</f>
        <v>0</v>
      </c>
      <c r="CO7" s="404">
        <f>WWWW[[#This Row],['# people reached by regular dedicated hygiene promotion_5]]/WWWW[[#This Row],[Total PoP ]]</f>
        <v>0</v>
      </c>
      <c r="CP7" s="404">
        <f>IF(WWWW[[#This Row],['#_of_affected_households_receiving_a_sufficient_quantity_of_soap]]/WWWW[[#This Row],[Total HH]]&gt;1,1,WWWW[[#This Row],['#_of_affected_households_receiving_a_sufficient_quantity_of_soap]]/WWWW[[#This Row],[Total HH]])</f>
        <v>0.99599679743795033</v>
      </c>
      <c r="CQ7" s="401" t="str">
        <f>IF(WWWW[[#This Row],['#_students at TLS_CFS]]="","No","Yes")</f>
        <v>Yes</v>
      </c>
      <c r="CR7" s="399" t="str">
        <f>VLOOKUP(WWWW[[#This Row],[Site Name]],SiteDB6[[Site Name]:[CCCM Management]],6,FALSE)</f>
        <v>Yes</v>
      </c>
      <c r="CS7" s="399">
        <f>VLOOKUP(WWWW[[#This Row],[Site Name]],SiteDB6[[Site Name]:[CCCM Focal Agency]],7,FALSE)</f>
        <v>0</v>
      </c>
      <c r="CT7" s="399" t="str">
        <f>VLOOKUP(WWWW[[#This Row],[Site Name]],SiteDB6[[Site Name]:[Location Type 1]],9,FALSE)</f>
        <v>Camp</v>
      </c>
      <c r="CU7" s="399" t="str">
        <f>VLOOKUP(WWWW[[#This Row],[Site Name]],SiteDB6[[Site Name]:[Type of Accommodation]],10,FALSE)</f>
        <v>Planned Camp</v>
      </c>
      <c r="CV7" s="399" t="str">
        <f>VLOOKUP(WWWW[[#This Row],[Site Name]],SiteDB6[[Site Name]:[Ethnic or GCA/NGCA]],11,FALSE)</f>
        <v>Muslim</v>
      </c>
      <c r="CW7" s="399">
        <f>VLOOKUP(WWWW[[#This Row],[Site Name]],SiteDB6[[Site Name]:[Lat]],12,FALSE)</f>
        <v>20.108101999999999</v>
      </c>
      <c r="CX7" s="399">
        <f>VLOOKUP(WWWW[[#This Row],[Site Name]],SiteDB6[[Site Name]:[Long]],13,FALSE)</f>
        <v>92.985095000000001</v>
      </c>
      <c r="CY7" s="399" t="str">
        <f>VLOOKUP(WWWW[[#This Row],[Site Name]],SiteDB6[[Site Name]:[Pcode]],3,FALSE)</f>
        <v>MMR012CMP016</v>
      </c>
      <c r="CZ7" s="407" t="str">
        <f t="shared" ref="CZ7:CZ31" si="0">IF(C7="none","Notcovered","Covered")</f>
        <v>Covered</v>
      </c>
      <c r="DA7" s="407">
        <f>VLOOKUP(WWWW[[#This Row],[Site Name]],SiteDB6[[Site Name]:[PWD_Total]],22,FALSE)</f>
        <v>79</v>
      </c>
      <c r="DB7" s="407">
        <f>VLOOKUP(WWWW[[#This Row],[Site Name]],SiteDB6[[Site Name]:[PWD_Total]],23,FALSE)</f>
        <v>615</v>
      </c>
      <c r="DC7" s="407">
        <f>VLOOKUP(WWWW[[#This Row],[Site Name]],SiteDB6[[Site Name]:[PWD_Total]],24,FALSE)</f>
        <v>694</v>
      </c>
      <c r="DD7" s="407"/>
      <c r="DE7" s="33"/>
      <c r="DF7" s="33"/>
      <c r="DG7"/>
      <c r="DI7" s="37"/>
      <c r="DJ7" s="37"/>
      <c r="DK7" s="38"/>
      <c r="DL7" s="38"/>
      <c r="DT7" s="20"/>
      <c r="DU7" s="20"/>
    </row>
    <row r="8" spans="1:125">
      <c r="A8" s="394" t="s">
        <v>2388</v>
      </c>
      <c r="B8" s="394" t="s">
        <v>2309</v>
      </c>
      <c r="C8" s="400" t="s">
        <v>2309</v>
      </c>
      <c r="D8" s="400" t="s">
        <v>41</v>
      </c>
      <c r="E8" s="535" t="s">
        <v>2707</v>
      </c>
      <c r="F8" s="400" t="s">
        <v>299</v>
      </c>
      <c r="G8" s="535" t="str">
        <f>VLOOKUP(WWWW[[#This Row],[Site Name]],SiteDB6[[Site Name]:[Location Type]],8,FALSE)</f>
        <v>Camp</v>
      </c>
      <c r="H8" s="400" t="s">
        <v>418</v>
      </c>
      <c r="I8" s="402">
        <v>397</v>
      </c>
      <c r="J8" s="402">
        <v>2111</v>
      </c>
      <c r="K8" s="408"/>
      <c r="L8" s="409">
        <v>44104</v>
      </c>
      <c r="M8" s="592">
        <v>1642</v>
      </c>
      <c r="N8" s="592">
        <v>16</v>
      </c>
      <c r="O8" s="592">
        <v>35</v>
      </c>
      <c r="P8" s="592">
        <v>0</v>
      </c>
      <c r="Q8" s="545" t="s">
        <v>130</v>
      </c>
      <c r="R8" s="592">
        <v>10</v>
      </c>
      <c r="S8" s="592">
        <v>5</v>
      </c>
      <c r="T8" s="592">
        <v>22</v>
      </c>
      <c r="U8" s="592">
        <v>25</v>
      </c>
      <c r="V8" s="402"/>
      <c r="W8" s="402"/>
      <c r="X8" s="592">
        <v>25</v>
      </c>
      <c r="Y8" s="592">
        <v>23</v>
      </c>
      <c r="Z8" s="592">
        <v>69</v>
      </c>
      <c r="AA8" s="592">
        <v>43</v>
      </c>
      <c r="AB8" s="592"/>
      <c r="AC8" s="402"/>
      <c r="AD8" s="592">
        <v>7</v>
      </c>
      <c r="AE8" s="637"/>
      <c r="AF8" s="592">
        <v>117</v>
      </c>
      <c r="AG8" s="592">
        <v>120</v>
      </c>
      <c r="AH8" s="592">
        <v>0</v>
      </c>
      <c r="AI8" s="537">
        <v>0.37</v>
      </c>
      <c r="AJ8" s="592">
        <v>40</v>
      </c>
      <c r="AK8" s="537">
        <v>1</v>
      </c>
      <c r="AL8" s="537">
        <v>1</v>
      </c>
      <c r="AM8" s="537">
        <v>0.91</v>
      </c>
      <c r="AN8" s="537">
        <v>0.91</v>
      </c>
      <c r="AO8" s="592"/>
      <c r="AP8" s="592"/>
      <c r="AQ8" s="592">
        <v>9</v>
      </c>
      <c r="AR8" s="592" t="s">
        <v>42</v>
      </c>
      <c r="AS8" s="650"/>
      <c r="AT8" s="592">
        <v>21</v>
      </c>
      <c r="AU8" s="592">
        <v>176</v>
      </c>
      <c r="AV8" s="592">
        <v>197</v>
      </c>
      <c r="AW8" s="592">
        <v>160</v>
      </c>
      <c r="AX8" s="592">
        <v>379</v>
      </c>
      <c r="AY8" s="592">
        <v>882</v>
      </c>
      <c r="AZ8" s="537"/>
      <c r="BA8" s="537"/>
      <c r="BB8" s="537"/>
      <c r="BC8" s="537">
        <v>0.78</v>
      </c>
      <c r="BD8" s="650"/>
      <c r="BE8" s="537"/>
      <c r="BF8" s="537"/>
      <c r="BG8" s="537">
        <v>1</v>
      </c>
      <c r="BH8" s="537">
        <v>0.5</v>
      </c>
      <c r="BI8" s="402"/>
      <c r="BJ8" s="540"/>
      <c r="BK8" s="651"/>
      <c r="BL8" s="651"/>
      <c r="BM8" s="405">
        <f>IFERROR(WWWW[[#This Row],['#_Water samples _passed_at_water source]]/WWWW[[#This Row],['#_Water samples_Tested_at_water_source]],"no test")</f>
        <v>0.92</v>
      </c>
      <c r="BN8" s="404">
        <f>IFERROR(WWWW[[#This Row],['#_Water samples _passed_at_HH]]/WWWW[[#This Row],['#_Water samples_Tested_at_HH]],"no test")</f>
        <v>0.62318840579710144</v>
      </c>
      <c r="BO8" s="403" t="str">
        <f>IF(AND(WWWW[[#This Row],[%of Water samples which passed at water source]]="no test",WWWW[[#This Row],[%Water samples which passed at HH]]="no test"),"No Test","Tested")</f>
        <v>Tested</v>
      </c>
      <c r="BP8"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8" s="401">
        <f>WWWW[[#This Row],[Access to safe/improved water through improved water sources]]*WWWW[[#This Row],[Total PoP ]]</f>
        <v>2111</v>
      </c>
      <c r="BR8" s="404">
        <f>IF((WWWW[[#This Row],['#_litres_of_water_stored_in_ponds]]/90/15)/WWWW[[#This Row],[Total PoP ]]&gt;1,1,(WWWW[[#This Row],['#_litres_of_water_stored_in_ponds]]/90/15)/WWWW[[#This Row],[Total PoP ]])</f>
        <v>0</v>
      </c>
      <c r="BS8" s="401">
        <f>WWWW[[#This Row],[% Access to unimproved water points]]*WWWW[[#This Row],[Total PoP ]]</f>
        <v>0</v>
      </c>
      <c r="BT8" s="404">
        <f>IF(WWWW[[#This Row],[Access to safe/improved water through improved water sources]]+WWWW[[#This Row],[% Access to unimproved water points]]&gt;1,1,WWWW[[#This Row],[Access to safe/improved water through improved water sources]]+WWWW[[#This Row],[% Access to unimproved water points]])</f>
        <v>1</v>
      </c>
      <c r="BU8"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2111</v>
      </c>
      <c r="BV8" s="401">
        <f>WWWW[[#This Row],[HRP1]]/500</f>
        <v>4.2220000000000004</v>
      </c>
      <c r="BW8" s="406">
        <f>1-WWWW[[#This Row],[% HRP1]]</f>
        <v>0</v>
      </c>
      <c r="BX8" s="401">
        <f>WWWW[[#This Row],[%equitable and continuous access to sufficient quantity of safe drinking and domestic water''s GAP]]*WWWW[[#This Row],[Total PoP ]]</f>
        <v>0</v>
      </c>
      <c r="BY8" s="403">
        <f>ROUND(IF(WWWW[[#This Row],[Total PoP ]]&lt;500,1,WWWW[[#This Row],[Total PoP ]]/500),0)</f>
        <v>4</v>
      </c>
      <c r="BZ8" s="403">
        <f>IF(WWWW[[#This Row],[Total required water points]]-WWWW[[#This Row],['#Water points coverage]]&lt;0,0,WWWW[[#This Row],[Total required water points]]-WWWW[[#This Row],['#Water points coverage]])</f>
        <v>0</v>
      </c>
      <c r="CA8" s="404">
        <f>WWWW[[#This Row],[HRP2]]/WWWW[[#This Row],[Total PoP ]]</f>
        <v>1</v>
      </c>
      <c r="CB8"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2111</v>
      </c>
      <c r="CC8" s="403">
        <f>IF(WWWW[[#This Row],['#_of_latrines_in_TLS/CFS]]*50&gt;WWWW[[#This Row],['#_students at TLS_CFS]],WWWW[[#This Row],['#_students at TLS_CFS]],WWWW[[#This Row],['#_of_latrines_in_TLS/CFS]]*50)</f>
        <v>450</v>
      </c>
      <c r="CD8" s="403">
        <f>ROUND(IF(WWWW[[#This Row],[Location Type 1]]="camp",WWWW[[#This Row],[Total PoP ]]/20),0)</f>
        <v>106</v>
      </c>
      <c r="CE8" s="403">
        <f>IF(WWWW[[#This Row],[Total required Latrines]]-WWWW[[#This Row],['#_Existing_latrines]]&lt;0,0,WWWW[[#This Row],[Total required Latrines]]-WWWW[[#This Row],['#_Existing_latrines]])</f>
        <v>0</v>
      </c>
      <c r="CF8" s="72">
        <f>1-WWWW[[#This Row],[% HRP2]]</f>
        <v>0</v>
      </c>
      <c r="CG8" s="405">
        <f>IF(WWWW[[#This Row],['#_Existing_latrines]]="","NA",(WWWW[[#This Row],['#_Existing_latrines]]-WWWW[[#This Row],['#_Functional_adult_latrines]])/WWWW[[#This Row],['#_Existing_latrines]])</f>
        <v>2.5000000000000001E-2</v>
      </c>
      <c r="CH8"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554</v>
      </c>
      <c r="CI8"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1895</v>
      </c>
      <c r="CJ8" s="403">
        <f>WWWW[[#This Row],['#_of_affected_women_and_girls_receiving_a_sufficient_quantity_of_sanitary_pads]]</f>
        <v>882</v>
      </c>
      <c r="CK8" s="403">
        <f>IF(WWWW[[#This Row],['# People with access to soap]]&gt;WWWW[[#This Row],['# People with access to Sanity Pads]],WWWW[[#This Row],['# People with access to soap]],WWWW[[#This Row],['# People with access to Sanity Pads]])</f>
        <v>1895</v>
      </c>
      <c r="CL8" s="403">
        <f>IF(WWWW[[#This Row],['# people reached by regular dedicated hygiene promotion_5]]&gt;WWWW[[#This Row],['# People received regular supply of hygiene items_6]],WWWW[[#This Row],['# people reached by regular dedicated hygiene promotion_5]],WWWW[[#This Row],['# People received regular supply of hygiene items_6]])</f>
        <v>1895</v>
      </c>
      <c r="CM8" s="406">
        <f>IF(WWWW[[#This Row],[HRP3]]/WWWW[[#This Row],[Total PoP ]]&gt;100%,100%,WWWW[[#This Row],[HRP3]]/WWWW[[#This Row],[Total PoP ]])</f>
        <v>0.89767882520132636</v>
      </c>
      <c r="CN8" s="405">
        <f>1-WWWW[[#This Row],[Hygiene Coverage%]]</f>
        <v>0.10232117479867364</v>
      </c>
      <c r="CO8" s="404">
        <f>WWWW[[#This Row],['# people reached by regular dedicated hygiene promotion_5]]/WWWW[[#This Row],[Total PoP ]]</f>
        <v>0.26243486499289437</v>
      </c>
      <c r="CP8" s="404">
        <f>IF(WWWW[[#This Row],['#_of_affected_households_receiving_a_sufficient_quantity_of_soap]]/WWWW[[#This Row],[Total HH]]&gt;1,1,WWWW[[#This Row],['#_of_affected_households_receiving_a_sufficient_quantity_of_soap]]/WWWW[[#This Row],[Total HH]])</f>
        <v>0.95465994962216627</v>
      </c>
      <c r="CQ8" s="401" t="str">
        <f>IF(WWWW[[#This Row],['#_students at TLS_CFS]]="","No","Yes")</f>
        <v>Yes</v>
      </c>
      <c r="CR8" s="399" t="str">
        <f>VLOOKUP(WWWW[[#This Row],[Site Name]],SiteDB6[[Site Name]:[CCCM Management]],6,FALSE)</f>
        <v>Yes</v>
      </c>
      <c r="CS8" s="399">
        <f>VLOOKUP(WWWW[[#This Row],[Site Name]],SiteDB6[[Site Name]:[CCCM Focal Agency]],7,FALSE)</f>
        <v>0</v>
      </c>
      <c r="CT8" s="399" t="str">
        <f>VLOOKUP(WWWW[[#This Row],[Site Name]],SiteDB6[[Site Name]:[Location Type 1]],9,FALSE)</f>
        <v>Camp</v>
      </c>
      <c r="CU8" s="399" t="str">
        <f>VLOOKUP(WWWW[[#This Row],[Site Name]],SiteDB6[[Site Name]:[Type of Accommodation]],10,FALSE)</f>
        <v>Planned Camp</v>
      </c>
      <c r="CV8" s="399" t="str">
        <f>VLOOKUP(WWWW[[#This Row],[Site Name]],SiteDB6[[Site Name]:[Ethnic or GCA/NGCA]],11,FALSE)</f>
        <v>Muslim</v>
      </c>
      <c r="CW8" s="399">
        <f>VLOOKUP(WWWW[[#This Row],[Site Name]],SiteDB6[[Site Name]:[Lat]],12,FALSE)</f>
        <v>20.128488999999998</v>
      </c>
      <c r="CX8" s="399">
        <f>VLOOKUP(WWWW[[#This Row],[Site Name]],SiteDB6[[Site Name]:[Long]],13,FALSE)</f>
        <v>92.875814000000005</v>
      </c>
      <c r="CY8" s="399" t="str">
        <f>VLOOKUP(WWWW[[#This Row],[Site Name]],SiteDB6[[Site Name]:[Pcode]],3,FALSE)</f>
        <v>MMR012CMP039</v>
      </c>
      <c r="CZ8" s="407" t="str">
        <f t="shared" si="0"/>
        <v>Covered</v>
      </c>
      <c r="DA8" s="407">
        <f>VLOOKUP(WWWW[[#This Row],[Site Name]],SiteDB6[[Site Name]:[PWD_Total]],22,FALSE)</f>
        <v>99</v>
      </c>
      <c r="DB8" s="407">
        <f>VLOOKUP(WWWW[[#This Row],[Site Name]],SiteDB6[[Site Name]:[PWD_Total]],23,FALSE)</f>
        <v>287</v>
      </c>
      <c r="DC8" s="407">
        <f>VLOOKUP(WWWW[[#This Row],[Site Name]],SiteDB6[[Site Name]:[PWD_Total]],24,FALSE)</f>
        <v>386</v>
      </c>
      <c r="DD8" s="407"/>
      <c r="DE8" s="33"/>
      <c r="DF8" s="33"/>
      <c r="DG8"/>
      <c r="DI8" s="37"/>
      <c r="DJ8" s="37"/>
      <c r="DK8" s="38"/>
      <c r="DL8" s="38"/>
      <c r="DT8" s="20"/>
      <c r="DU8" s="20"/>
    </row>
    <row r="9" spans="1:125">
      <c r="A9" s="394" t="s">
        <v>2388</v>
      </c>
      <c r="B9" s="394" t="s">
        <v>2309</v>
      </c>
      <c r="C9" s="400" t="s">
        <v>2309</v>
      </c>
      <c r="D9" s="400" t="s">
        <v>41</v>
      </c>
      <c r="E9" s="535" t="s">
        <v>2707</v>
      </c>
      <c r="F9" s="400" t="s">
        <v>299</v>
      </c>
      <c r="G9" s="535" t="str">
        <f>VLOOKUP(WWWW[[#This Row],[Site Name]],SiteDB6[[Site Name]:[Location Type]],8,FALSE)</f>
        <v>Camp</v>
      </c>
      <c r="H9" s="400" t="s">
        <v>429</v>
      </c>
      <c r="I9" s="402">
        <v>1016</v>
      </c>
      <c r="J9" s="402">
        <v>4892</v>
      </c>
      <c r="K9" s="408"/>
      <c r="L9" s="409">
        <v>44104</v>
      </c>
      <c r="M9" s="592">
        <v>3364</v>
      </c>
      <c r="N9" s="592">
        <v>49</v>
      </c>
      <c r="O9" s="592">
        <f>115+108</f>
        <v>223</v>
      </c>
      <c r="P9" s="592">
        <v>0</v>
      </c>
      <c r="Q9" s="545" t="s">
        <v>130</v>
      </c>
      <c r="R9" s="592">
        <f>8+8</f>
        <v>16</v>
      </c>
      <c r="S9" s="592">
        <v>7</v>
      </c>
      <c r="T9" s="592">
        <v>39</v>
      </c>
      <c r="U9" s="592">
        <v>50</v>
      </c>
      <c r="V9" s="402"/>
      <c r="W9" s="402"/>
      <c r="X9" s="592">
        <v>3</v>
      </c>
      <c r="Y9" s="592">
        <v>3</v>
      </c>
      <c r="Z9" s="402"/>
      <c r="AA9" s="402"/>
      <c r="AB9" s="402"/>
      <c r="AC9" s="402"/>
      <c r="AD9" s="402">
        <v>6</v>
      </c>
      <c r="AE9" s="637"/>
      <c r="AF9" s="592">
        <v>169</v>
      </c>
      <c r="AG9" s="592">
        <v>254</v>
      </c>
      <c r="AH9" s="592">
        <v>150</v>
      </c>
      <c r="AI9" s="537">
        <v>0.8</v>
      </c>
      <c r="AJ9" s="592">
        <v>536</v>
      </c>
      <c r="AK9" s="537">
        <v>0.98</v>
      </c>
      <c r="AL9" s="537">
        <v>0.9</v>
      </c>
      <c r="AM9" s="537">
        <v>0.9</v>
      </c>
      <c r="AN9" s="537">
        <v>0.9</v>
      </c>
      <c r="AO9" s="592"/>
      <c r="AP9" s="592"/>
      <c r="AQ9" s="592">
        <v>15</v>
      </c>
      <c r="AR9" s="592" t="s">
        <v>42</v>
      </c>
      <c r="AS9" s="650"/>
      <c r="AT9" s="592">
        <v>208</v>
      </c>
      <c r="AU9" s="592">
        <v>817</v>
      </c>
      <c r="AV9" s="592">
        <v>1151</v>
      </c>
      <c r="AW9" s="592">
        <v>1169</v>
      </c>
      <c r="AX9" s="592">
        <v>1016</v>
      </c>
      <c r="AY9" s="592">
        <v>1602</v>
      </c>
      <c r="AZ9" s="402"/>
      <c r="BA9" s="402"/>
      <c r="BB9" s="402"/>
      <c r="BC9" s="404">
        <v>0.8</v>
      </c>
      <c r="BD9" s="650"/>
      <c r="BE9" s="537"/>
      <c r="BF9" s="537"/>
      <c r="BG9" s="537">
        <v>0.98</v>
      </c>
      <c r="BH9" s="537">
        <v>0.63</v>
      </c>
      <c r="BI9" s="402"/>
      <c r="BJ9" s="399"/>
      <c r="BK9" s="650"/>
      <c r="BL9" s="650"/>
      <c r="BM9" s="405">
        <f>IFERROR(WWWW[[#This Row],['#_Water samples _passed_at_water source]]/WWWW[[#This Row],['#_Water samples_Tested_at_water_source]],"no test")</f>
        <v>1</v>
      </c>
      <c r="BN9" s="404" t="str">
        <f>IFERROR(WWWW[[#This Row],['#_Water samples _passed_at_HH]]/WWWW[[#This Row],['#_Water samples_Tested_at_HH]],"no test")</f>
        <v>no test</v>
      </c>
      <c r="BO9" s="403" t="str">
        <f>IF(AND(WWWW[[#This Row],[%of Water samples which passed at water source]]="no test",WWWW[[#This Row],[%Water samples which passed at HH]]="no test"),"No Test","Tested")</f>
        <v>Tested</v>
      </c>
      <c r="BP9"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9" s="401">
        <f>WWWW[[#This Row],[Access to safe/improved water through improved water sources]]*WWWW[[#This Row],[Total PoP ]]</f>
        <v>4892</v>
      </c>
      <c r="BR9" s="404">
        <f>IF((WWWW[[#This Row],['#_litres_of_water_stored_in_ponds]]/90/15)/WWWW[[#This Row],[Total PoP ]]&gt;1,1,(WWWW[[#This Row],['#_litres_of_water_stored_in_ponds]]/90/15)/WWWW[[#This Row],[Total PoP ]])</f>
        <v>0</v>
      </c>
      <c r="BS9" s="401">
        <f>WWWW[[#This Row],[% Access to unimproved water points]]*WWWW[[#This Row],[Total PoP ]]</f>
        <v>0</v>
      </c>
      <c r="BT9" s="404">
        <f>IF(WWWW[[#This Row],[Access to safe/improved water through improved water sources]]+WWWW[[#This Row],[% Access to unimproved water points]]&gt;1,1,WWWW[[#This Row],[Access to safe/improved water through improved water sources]]+WWWW[[#This Row],[% Access to unimproved water points]])</f>
        <v>1</v>
      </c>
      <c r="BU9"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4892</v>
      </c>
      <c r="BV9" s="401">
        <f>WWWW[[#This Row],[HRP1]]/500</f>
        <v>9.7840000000000007</v>
      </c>
      <c r="BW9" s="406">
        <f>1-WWWW[[#This Row],[% HRP1]]</f>
        <v>0</v>
      </c>
      <c r="BX9" s="401">
        <f>WWWW[[#This Row],[%equitable and continuous access to sufficient quantity of safe drinking and domestic water''s GAP]]*WWWW[[#This Row],[Total PoP ]]</f>
        <v>0</v>
      </c>
      <c r="BY9" s="403">
        <f>ROUND(IF(WWWW[[#This Row],[Total PoP ]]&lt;500,1,WWWW[[#This Row],[Total PoP ]]/500),0)</f>
        <v>10</v>
      </c>
      <c r="BZ9" s="403">
        <f>IF(WWWW[[#This Row],[Total required water points]]-WWWW[[#This Row],['#Water points coverage]]&lt;0,0,WWWW[[#This Row],[Total required water points]]-WWWW[[#This Row],['#Water points coverage]])</f>
        <v>0.2159999999999993</v>
      </c>
      <c r="CA9" s="404">
        <f>WWWW[[#This Row],[HRP2]]/WWWW[[#This Row],[Total PoP ]]</f>
        <v>0.84423548650858549</v>
      </c>
      <c r="CB9"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4130</v>
      </c>
      <c r="CC9" s="403">
        <f>IF(WWWW[[#This Row],['#_of_latrines_in_TLS/CFS]]*50&gt;WWWW[[#This Row],['#_students at TLS_CFS]],WWWW[[#This Row],['#_students at TLS_CFS]],WWWW[[#This Row],['#_of_latrines_in_TLS/CFS]]*50)</f>
        <v>750</v>
      </c>
      <c r="CD9" s="403">
        <f>ROUND(IF(WWWW[[#This Row],[Location Type 1]]="camp",WWWW[[#This Row],[Total PoP ]]/20),0)</f>
        <v>245</v>
      </c>
      <c r="CE9" s="403">
        <f>IF(WWWW[[#This Row],[Total required Latrines]]-WWWW[[#This Row],['#_Existing_latrines]]&lt;0,0,WWWW[[#This Row],[Total required Latrines]]-WWWW[[#This Row],['#_Existing_latrines]])</f>
        <v>0</v>
      </c>
      <c r="CF9" s="72">
        <f>1-WWWW[[#This Row],[% HRP2]]</f>
        <v>0.15576451349141451</v>
      </c>
      <c r="CG9" s="405">
        <f>IF(WWWW[[#This Row],['#_Existing_latrines]]="","NA",(WWWW[[#This Row],['#_Existing_latrines]]-WWWW[[#This Row],['#_Functional_adult_latrines]])/WWWW[[#This Row],['#_Existing_latrines]])</f>
        <v>0.3346456692913386</v>
      </c>
      <c r="CH9"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3345</v>
      </c>
      <c r="CI9"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4892</v>
      </c>
      <c r="CJ9" s="403">
        <f>WWWW[[#This Row],['#_of_affected_women_and_girls_receiving_a_sufficient_quantity_of_sanitary_pads]]</f>
        <v>1602</v>
      </c>
      <c r="CK9" s="403">
        <f>IF(WWWW[[#This Row],['# People with access to soap]]&gt;WWWW[[#This Row],['# People with access to Sanity Pads]],WWWW[[#This Row],['# People with access to soap]],WWWW[[#This Row],['# People with access to Sanity Pads]])</f>
        <v>4892</v>
      </c>
      <c r="CL9" s="403">
        <f>IF(WWWW[[#This Row],['# people reached by regular dedicated hygiene promotion_5]]&gt;WWWW[[#This Row],['# People received regular supply of hygiene items_6]],WWWW[[#This Row],['# people reached by regular dedicated hygiene promotion_5]],WWWW[[#This Row],['# People received regular supply of hygiene items_6]])</f>
        <v>4892</v>
      </c>
      <c r="CM9" s="406">
        <f>IF(WWWW[[#This Row],[HRP3]]/WWWW[[#This Row],[Total PoP ]]&gt;100%,100%,WWWW[[#This Row],[HRP3]]/WWWW[[#This Row],[Total PoP ]])</f>
        <v>1</v>
      </c>
      <c r="CN9" s="405">
        <f>1-WWWW[[#This Row],[Hygiene Coverage%]]</f>
        <v>0</v>
      </c>
      <c r="CO9" s="404">
        <f>WWWW[[#This Row],['# people reached by regular dedicated hygiene promotion_5]]/WWWW[[#This Row],[Total PoP ]]</f>
        <v>0.68376941946034342</v>
      </c>
      <c r="CP9" s="404">
        <f>IF(WWWW[[#This Row],['#_of_affected_households_receiving_a_sufficient_quantity_of_soap]]/WWWW[[#This Row],[Total HH]]&gt;1,1,WWWW[[#This Row],['#_of_affected_households_receiving_a_sufficient_quantity_of_soap]]/WWWW[[#This Row],[Total HH]])</f>
        <v>1</v>
      </c>
      <c r="CQ9" s="401" t="str">
        <f>IF(WWWW[[#This Row],['#_students at TLS_CFS]]="","No","Yes")</f>
        <v>Yes</v>
      </c>
      <c r="CR9" s="399" t="str">
        <f>VLOOKUP(WWWW[[#This Row],[Site Name]],SiteDB6[[Site Name]:[CCCM Management]],6,FALSE)</f>
        <v>Yes</v>
      </c>
      <c r="CS9" s="399">
        <f>VLOOKUP(WWWW[[#This Row],[Site Name]],SiteDB6[[Site Name]:[CCCM Focal Agency]],7,FALSE)</f>
        <v>0</v>
      </c>
      <c r="CT9" s="399" t="str">
        <f>VLOOKUP(WWWW[[#This Row],[Site Name]],SiteDB6[[Site Name]:[Location Type 1]],9,FALSE)</f>
        <v>Camp</v>
      </c>
      <c r="CU9" s="399" t="str">
        <f>VLOOKUP(WWWW[[#This Row],[Site Name]],SiteDB6[[Site Name]:[Type of Accommodation]],10,FALSE)</f>
        <v>Planned Camp</v>
      </c>
      <c r="CV9" s="399" t="str">
        <f>VLOOKUP(WWWW[[#This Row],[Site Name]],SiteDB6[[Site Name]:[Ethnic or GCA/NGCA]],11,FALSE)</f>
        <v>Muslim</v>
      </c>
      <c r="CW9" s="399">
        <f>VLOOKUP(WWWW[[#This Row],[Site Name]],SiteDB6[[Site Name]:[Lat]],12,FALSE)</f>
        <v>20.179417000000001</v>
      </c>
      <c r="CX9" s="399">
        <f>VLOOKUP(WWWW[[#This Row],[Site Name]],SiteDB6[[Site Name]:[Long]],13,FALSE)</f>
        <v>92.813028000000003</v>
      </c>
      <c r="CY9" s="399" t="str">
        <f>VLOOKUP(WWWW[[#This Row],[Site Name]],SiteDB6[[Site Name]:[Pcode]],3,FALSE)</f>
        <v>MMR012CMP113</v>
      </c>
      <c r="CZ9" s="407" t="str">
        <f t="shared" si="0"/>
        <v>Covered</v>
      </c>
      <c r="DA9" s="407">
        <f>VLOOKUP(WWWW[[#This Row],[Site Name]],SiteDB6[[Site Name]:[PWD_Total]],22,FALSE)</f>
        <v>124</v>
      </c>
      <c r="DB9" s="407">
        <f>VLOOKUP(WWWW[[#This Row],[Site Name]],SiteDB6[[Site Name]:[PWD_Total]],23,FALSE)</f>
        <v>410</v>
      </c>
      <c r="DC9" s="407">
        <f>VLOOKUP(WWWW[[#This Row],[Site Name]],SiteDB6[[Site Name]:[PWD_Total]],24,FALSE)</f>
        <v>534</v>
      </c>
      <c r="DD9" s="407"/>
      <c r="DE9" s="33"/>
      <c r="DF9" s="33"/>
      <c r="DG9"/>
      <c r="DI9" s="37"/>
      <c r="DJ9" s="37"/>
      <c r="DK9" s="38"/>
      <c r="DL9" s="38"/>
      <c r="DT9" s="20"/>
      <c r="DU9" s="20"/>
    </row>
    <row r="10" spans="1:125">
      <c r="A10" s="394" t="s">
        <v>2388</v>
      </c>
      <c r="B10" s="394" t="s">
        <v>2309</v>
      </c>
      <c r="C10" s="400" t="s">
        <v>2309</v>
      </c>
      <c r="D10" s="400" t="s">
        <v>41</v>
      </c>
      <c r="E10" s="535" t="s">
        <v>2707</v>
      </c>
      <c r="F10" s="400" t="s">
        <v>299</v>
      </c>
      <c r="G10" s="535" t="str">
        <f>VLOOKUP(WWWW[[#This Row],[Site Name]],SiteDB6[[Site Name]:[Location Type]],8,FALSE)</f>
        <v>Camp</v>
      </c>
      <c r="H10" s="400" t="s">
        <v>431</v>
      </c>
      <c r="I10" s="402">
        <v>1311</v>
      </c>
      <c r="J10" s="402">
        <v>6936</v>
      </c>
      <c r="K10" s="408"/>
      <c r="L10" s="409">
        <v>44104</v>
      </c>
      <c r="M10" s="592">
        <v>3041</v>
      </c>
      <c r="N10" s="402"/>
      <c r="O10" s="402"/>
      <c r="P10" s="402" t="s">
        <v>2676</v>
      </c>
      <c r="Q10" s="401"/>
      <c r="R10" s="402"/>
      <c r="S10" s="402"/>
      <c r="T10" s="592">
        <v>63</v>
      </c>
      <c r="U10" s="592">
        <v>80</v>
      </c>
      <c r="V10" s="402"/>
      <c r="W10" s="402"/>
      <c r="X10" s="402"/>
      <c r="Y10" s="402"/>
      <c r="Z10" s="402"/>
      <c r="AA10" s="402"/>
      <c r="AB10" s="402"/>
      <c r="AC10" s="402"/>
      <c r="AD10" s="402">
        <v>2</v>
      </c>
      <c r="AE10" s="637"/>
      <c r="AF10" s="592">
        <v>259</v>
      </c>
      <c r="AG10" s="592">
        <v>328</v>
      </c>
      <c r="AH10" s="592"/>
      <c r="AI10" s="537"/>
      <c r="AJ10" s="592"/>
      <c r="AK10" s="537"/>
      <c r="AL10" s="537"/>
      <c r="AM10" s="537"/>
      <c r="AN10" s="537"/>
      <c r="AO10" s="592"/>
      <c r="AP10" s="592"/>
      <c r="AQ10" s="592">
        <v>13</v>
      </c>
      <c r="AR10" s="592" t="s">
        <v>42</v>
      </c>
      <c r="AS10" s="650"/>
      <c r="AT10" s="592"/>
      <c r="AU10" s="592"/>
      <c r="AV10" s="592"/>
      <c r="AW10" s="592"/>
      <c r="AX10" s="592">
        <v>1311</v>
      </c>
      <c r="AY10" s="592">
        <v>2133</v>
      </c>
      <c r="AZ10" s="402"/>
      <c r="BA10" s="402"/>
      <c r="BB10" s="402"/>
      <c r="BC10" s="404">
        <v>0.85</v>
      </c>
      <c r="BD10" s="650"/>
      <c r="BE10" s="537"/>
      <c r="BF10" s="537"/>
      <c r="BG10" s="537"/>
      <c r="BH10" s="537"/>
      <c r="BI10" s="402"/>
      <c r="BJ10" s="399"/>
      <c r="BK10" s="650"/>
      <c r="BL10" s="650"/>
      <c r="BM10" s="405" t="str">
        <f>IFERROR(WWWW[[#This Row],['#_Water samples _passed_at_water source]]/WWWW[[#This Row],['#_Water samples_Tested_at_water_source]],"no test")</f>
        <v>no test</v>
      </c>
      <c r="BN10" s="404" t="str">
        <f>IFERROR(WWWW[[#This Row],['#_Water samples _passed_at_HH]]/WWWW[[#This Row],['#_Water samples_Tested_at_HH]],"no test")</f>
        <v>no test</v>
      </c>
      <c r="BO10" s="403" t="str">
        <f>IF(AND(WWWW[[#This Row],[%of Water samples which passed at water source]]="no test",WWWW[[#This Row],[%Water samples which passed at HH]]="no test"),"No Test","Tested")</f>
        <v>No Test</v>
      </c>
      <c r="BP10"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0" s="401">
        <f>WWWW[[#This Row],[Access to safe/improved water through improved water sources]]*WWWW[[#This Row],[Total PoP ]]</f>
        <v>6936</v>
      </c>
      <c r="BR10" s="404">
        <f>IF((WWWW[[#This Row],['#_litres_of_water_stored_in_ponds]]/90/15)/WWWW[[#This Row],[Total PoP ]]&gt;1,1,(WWWW[[#This Row],['#_litres_of_water_stored_in_ponds]]/90/15)/WWWW[[#This Row],[Total PoP ]])</f>
        <v>0</v>
      </c>
      <c r="BS10" s="401">
        <f>WWWW[[#This Row],[% Access to unimproved water points]]*WWWW[[#This Row],[Total PoP ]]</f>
        <v>0</v>
      </c>
      <c r="BT10" s="404">
        <f>IF(WWWW[[#This Row],[Access to safe/improved water through improved water sources]]+WWWW[[#This Row],[% Access to unimproved water points]]&gt;1,1,WWWW[[#This Row],[Access to safe/improved water through improved water sources]]+WWWW[[#This Row],[% Access to unimproved water points]])</f>
        <v>1</v>
      </c>
      <c r="BU10"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6936</v>
      </c>
      <c r="BV10" s="401">
        <f>WWWW[[#This Row],[HRP1]]/500</f>
        <v>13.872</v>
      </c>
      <c r="BW10" s="406">
        <f>1-WWWW[[#This Row],[% HRP1]]</f>
        <v>0</v>
      </c>
      <c r="BX10" s="401">
        <f>WWWW[[#This Row],[%equitable and continuous access to sufficient quantity of safe drinking and domestic water''s GAP]]*WWWW[[#This Row],[Total PoP ]]</f>
        <v>0</v>
      </c>
      <c r="BY10" s="403">
        <f>ROUND(IF(WWWW[[#This Row],[Total PoP ]]&lt;500,1,WWWW[[#This Row],[Total PoP ]]/500),0)</f>
        <v>14</v>
      </c>
      <c r="BZ10" s="403">
        <f>IF(WWWW[[#This Row],[Total required water points]]-WWWW[[#This Row],['#Water points coverage]]&lt;0,0,WWWW[[#This Row],[Total required water points]]-WWWW[[#This Row],['#Water points coverage]])</f>
        <v>0.12800000000000011</v>
      </c>
      <c r="CA10" s="404">
        <f>WWWW[[#This Row],[HRP2]]/WWWW[[#This Row],[Total PoP ]]</f>
        <v>0.84054209919261824</v>
      </c>
      <c r="CB10"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5830</v>
      </c>
      <c r="CC10" s="403">
        <f>IF(WWWW[[#This Row],['#_of_latrines_in_TLS/CFS]]*50&gt;WWWW[[#This Row],['#_students at TLS_CFS]],WWWW[[#This Row],['#_students at TLS_CFS]],WWWW[[#This Row],['#_of_latrines_in_TLS/CFS]]*50)</f>
        <v>650</v>
      </c>
      <c r="CD10" s="403">
        <f>ROUND(IF(WWWW[[#This Row],[Location Type 1]]="camp",WWWW[[#This Row],[Total PoP ]]/20),0)</f>
        <v>347</v>
      </c>
      <c r="CE10" s="403">
        <f>IF(WWWW[[#This Row],[Total required Latrines]]-WWWW[[#This Row],['#_Existing_latrines]]&lt;0,0,WWWW[[#This Row],[Total required Latrines]]-WWWW[[#This Row],['#_Existing_latrines]])</f>
        <v>19</v>
      </c>
      <c r="CF10" s="72">
        <f>1-WWWW[[#This Row],[% HRP2]]</f>
        <v>0.15945790080738176</v>
      </c>
      <c r="CG10" s="405">
        <f>IF(WWWW[[#This Row],['#_Existing_latrines]]="","NA",(WWWW[[#This Row],['#_Existing_latrines]]-WWWW[[#This Row],['#_Functional_adult_latrines]])/WWWW[[#This Row],['#_Existing_latrines]])</f>
        <v>0.21036585365853658</v>
      </c>
      <c r="CH10"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10"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6936</v>
      </c>
      <c r="CJ10" s="403">
        <f>WWWW[[#This Row],['#_of_affected_women_and_girls_receiving_a_sufficient_quantity_of_sanitary_pads]]</f>
        <v>2133</v>
      </c>
      <c r="CK10" s="403">
        <f>IF(WWWW[[#This Row],['# People with access to soap]]&gt;WWWW[[#This Row],['# People with access to Sanity Pads]],WWWW[[#This Row],['# People with access to soap]],WWWW[[#This Row],['# People with access to Sanity Pads]])</f>
        <v>6936</v>
      </c>
      <c r="CL10" s="403">
        <f>IF(WWWW[[#This Row],['# people reached by regular dedicated hygiene promotion_5]]&gt;WWWW[[#This Row],['# People received regular supply of hygiene items_6]],WWWW[[#This Row],['# people reached by regular dedicated hygiene promotion_5]],WWWW[[#This Row],['# People received regular supply of hygiene items_6]])</f>
        <v>6936</v>
      </c>
      <c r="CM10" s="406">
        <f>IF(WWWW[[#This Row],[HRP3]]/WWWW[[#This Row],[Total PoP ]]&gt;100%,100%,WWWW[[#This Row],[HRP3]]/WWWW[[#This Row],[Total PoP ]])</f>
        <v>1</v>
      </c>
      <c r="CN10" s="405">
        <f>1-WWWW[[#This Row],[Hygiene Coverage%]]</f>
        <v>0</v>
      </c>
      <c r="CO10" s="404">
        <f>WWWW[[#This Row],['# people reached by regular dedicated hygiene promotion_5]]/WWWW[[#This Row],[Total PoP ]]</f>
        <v>0</v>
      </c>
      <c r="CP10" s="404">
        <f>IF(WWWW[[#This Row],['#_of_affected_households_receiving_a_sufficient_quantity_of_soap]]/WWWW[[#This Row],[Total HH]]&gt;1,1,WWWW[[#This Row],['#_of_affected_households_receiving_a_sufficient_quantity_of_soap]]/WWWW[[#This Row],[Total HH]])</f>
        <v>1</v>
      </c>
      <c r="CQ10" s="401" t="str">
        <f>IF(WWWW[[#This Row],['#_students at TLS_CFS]]="","No","Yes")</f>
        <v>Yes</v>
      </c>
      <c r="CR10" s="399" t="str">
        <f>VLOOKUP(WWWW[[#This Row],[Site Name]],SiteDB6[[Site Name]:[CCCM Management]],6,FALSE)</f>
        <v>Yes</v>
      </c>
      <c r="CS10" s="399">
        <f>VLOOKUP(WWWW[[#This Row],[Site Name]],SiteDB6[[Site Name]:[CCCM Focal Agency]],7,FALSE)</f>
        <v>0</v>
      </c>
      <c r="CT10" s="399" t="str">
        <f>VLOOKUP(WWWW[[#This Row],[Site Name]],SiteDB6[[Site Name]:[Location Type 1]],9,FALSE)</f>
        <v>Camp</v>
      </c>
      <c r="CU10" s="399" t="str">
        <f>VLOOKUP(WWWW[[#This Row],[Site Name]],SiteDB6[[Site Name]:[Type of Accommodation]],10,FALSE)</f>
        <v>Planned Camp</v>
      </c>
      <c r="CV10" s="399" t="str">
        <f>VLOOKUP(WWWW[[#This Row],[Site Name]],SiteDB6[[Site Name]:[Ethnic or GCA/NGCA]],11,FALSE)</f>
        <v>Muslim</v>
      </c>
      <c r="CW10" s="399">
        <f>VLOOKUP(WWWW[[#This Row],[Site Name]],SiteDB6[[Site Name]:[Lat]],12,FALSE)</f>
        <v>20.181405999999999</v>
      </c>
      <c r="CX10" s="399">
        <f>VLOOKUP(WWWW[[#This Row],[Site Name]],SiteDB6[[Site Name]:[Long]],13,FALSE)</f>
        <v>92.807552000000001</v>
      </c>
      <c r="CY10" s="399" t="str">
        <f>VLOOKUP(WWWW[[#This Row],[Site Name]],SiteDB6[[Site Name]:[Pcode]],3,FALSE)</f>
        <v>MMR012CMP114</v>
      </c>
      <c r="CZ10" s="407" t="str">
        <f t="shared" si="0"/>
        <v>Covered</v>
      </c>
      <c r="DA10" s="407">
        <f>VLOOKUP(WWWW[[#This Row],[Site Name]],SiteDB6[[Site Name]:[PWD_Total]],22,FALSE)</f>
        <v>193</v>
      </c>
      <c r="DB10" s="407">
        <f>VLOOKUP(WWWW[[#This Row],[Site Name]],SiteDB6[[Site Name]:[PWD_Total]],23,FALSE)</f>
        <v>637</v>
      </c>
      <c r="DC10" s="407">
        <f>VLOOKUP(WWWW[[#This Row],[Site Name]],SiteDB6[[Site Name]:[PWD_Total]],24,FALSE)</f>
        <v>830</v>
      </c>
      <c r="DD10" s="407"/>
      <c r="DE10" s="33"/>
      <c r="DF10" s="33"/>
      <c r="DG10"/>
      <c r="DI10" s="37"/>
      <c r="DJ10" s="37"/>
      <c r="DK10" s="38"/>
      <c r="DL10" s="38"/>
      <c r="DT10" s="20"/>
      <c r="DU10" s="20"/>
    </row>
    <row r="11" spans="1:125">
      <c r="A11" s="394" t="s">
        <v>2388</v>
      </c>
      <c r="B11" s="394" t="s">
        <v>2309</v>
      </c>
      <c r="C11" s="400" t="s">
        <v>2309</v>
      </c>
      <c r="D11" s="400"/>
      <c r="E11" s="535" t="s">
        <v>2707</v>
      </c>
      <c r="F11" s="400" t="s">
        <v>299</v>
      </c>
      <c r="G11" s="535" t="str">
        <f>VLOOKUP(WWWW[[#This Row],[Site Name]],SiteDB6[[Site Name]:[Location Type]],8,FALSE)</f>
        <v>Camp</v>
      </c>
      <c r="H11" s="400" t="s">
        <v>2700</v>
      </c>
      <c r="I11" s="402">
        <v>22</v>
      </c>
      <c r="J11" s="402">
        <v>114</v>
      </c>
      <c r="K11" s="408"/>
      <c r="L11" s="409"/>
      <c r="M11" s="592">
        <v>211</v>
      </c>
      <c r="N11" s="402"/>
      <c r="O11" s="402"/>
      <c r="P11" s="402" t="s">
        <v>2676</v>
      </c>
      <c r="Q11" s="401"/>
      <c r="R11" s="402"/>
      <c r="S11" s="402"/>
      <c r="T11" s="402"/>
      <c r="U11" s="402"/>
      <c r="V11" s="402"/>
      <c r="W11" s="402"/>
      <c r="X11" s="402"/>
      <c r="Y11" s="402"/>
      <c r="Z11" s="402"/>
      <c r="AA11" s="402"/>
      <c r="AB11" s="402"/>
      <c r="AC11" s="402"/>
      <c r="AD11" s="402">
        <v>2</v>
      </c>
      <c r="AE11" s="637"/>
      <c r="AF11" s="592"/>
      <c r="AG11" s="592"/>
      <c r="AH11" s="592"/>
      <c r="AI11" s="537"/>
      <c r="AJ11" s="592"/>
      <c r="AK11" s="537"/>
      <c r="AL11" s="537"/>
      <c r="AM11" s="537"/>
      <c r="AN11" s="537"/>
      <c r="AO11" s="592"/>
      <c r="AP11" s="592"/>
      <c r="AQ11" s="592">
        <v>2</v>
      </c>
      <c r="AR11" s="592" t="s">
        <v>130</v>
      </c>
      <c r="AS11" s="650"/>
      <c r="AT11" s="592"/>
      <c r="AU11" s="592"/>
      <c r="AV11" s="592"/>
      <c r="AW11" s="592"/>
      <c r="AX11" s="592">
        <v>22</v>
      </c>
      <c r="AY11" s="592">
        <v>40</v>
      </c>
      <c r="AZ11" s="402"/>
      <c r="BA11" s="402"/>
      <c r="BB11" s="402"/>
      <c r="BC11" s="404">
        <v>0.5</v>
      </c>
      <c r="BD11" s="650"/>
      <c r="BE11" s="537"/>
      <c r="BF11" s="537"/>
      <c r="BG11" s="537"/>
      <c r="BH11" s="537"/>
      <c r="BI11" s="402"/>
      <c r="BJ11" s="399"/>
      <c r="BK11" s="650"/>
      <c r="BL11" s="650"/>
      <c r="BM11" s="405" t="str">
        <f>IFERROR(WWWW[[#This Row],['#_Water samples _passed_at_water source]]/WWWW[[#This Row],['#_Water samples_Tested_at_water_source]],"no test")</f>
        <v>no test</v>
      </c>
      <c r="BN11" s="404" t="str">
        <f>IFERROR(WWWW[[#This Row],['#_Water samples _passed_at_HH]]/WWWW[[#This Row],['#_Water samples_Tested_at_HH]],"no test")</f>
        <v>no test</v>
      </c>
      <c r="BO11" s="403" t="str">
        <f>IF(AND(WWWW[[#This Row],[%of Water samples which passed at water source]]="no test",WWWW[[#This Row],[%Water samples which passed at HH]]="no test"),"No Test","Tested")</f>
        <v>No Test</v>
      </c>
      <c r="BP11"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1" s="401">
        <f>WWWW[[#This Row],[Access to safe/improved water through improved water sources]]*WWWW[[#This Row],[Total PoP ]]</f>
        <v>114</v>
      </c>
      <c r="BR11" s="404">
        <f>IF((WWWW[[#This Row],['#_litres_of_water_stored_in_ponds]]/90/15)/WWWW[[#This Row],[Total PoP ]]&gt;1,1,(WWWW[[#This Row],['#_litres_of_water_stored_in_ponds]]/90/15)/WWWW[[#This Row],[Total PoP ]])</f>
        <v>0</v>
      </c>
      <c r="BS11" s="401">
        <f>WWWW[[#This Row],[% Access to unimproved water points]]*WWWW[[#This Row],[Total PoP ]]</f>
        <v>0</v>
      </c>
      <c r="BT11" s="404">
        <f>IF(WWWW[[#This Row],[Access to safe/improved water through improved water sources]]+WWWW[[#This Row],[% Access to unimproved water points]]&gt;1,1,WWWW[[#This Row],[Access to safe/improved water through improved water sources]]+WWWW[[#This Row],[% Access to unimproved water points]])</f>
        <v>1</v>
      </c>
      <c r="BU11"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114</v>
      </c>
      <c r="BV11" s="401">
        <f>WWWW[[#This Row],[HRP1]]/500</f>
        <v>0.22800000000000001</v>
      </c>
      <c r="BW11" s="406">
        <f>1-WWWW[[#This Row],[% HRP1]]</f>
        <v>0</v>
      </c>
      <c r="BX11" s="401">
        <f>WWWW[[#This Row],[%equitable and continuous access to sufficient quantity of safe drinking and domestic water''s GAP]]*WWWW[[#This Row],[Total PoP ]]</f>
        <v>0</v>
      </c>
      <c r="BY11" s="403">
        <f>ROUND(IF(WWWW[[#This Row],[Total PoP ]]&lt;500,1,WWWW[[#This Row],[Total PoP ]]/500),0)</f>
        <v>1</v>
      </c>
      <c r="BZ11" s="403">
        <f>IF(WWWW[[#This Row],[Total required water points]]-WWWW[[#This Row],['#Water points coverage]]&lt;0,0,WWWW[[#This Row],[Total required water points]]-WWWW[[#This Row],['#Water points coverage]])</f>
        <v>0.77200000000000002</v>
      </c>
      <c r="CA11" s="404">
        <f>WWWW[[#This Row],[HRP2]]/WWWW[[#This Row],[Total PoP ]]</f>
        <v>0.8771929824561403</v>
      </c>
      <c r="CB11"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100</v>
      </c>
      <c r="CC11" s="403">
        <f>IF(WWWW[[#This Row],['#_of_latrines_in_TLS/CFS]]*50&gt;WWWW[[#This Row],['#_students at TLS_CFS]],WWWW[[#This Row],['#_students at TLS_CFS]],WWWW[[#This Row],['#_of_latrines_in_TLS/CFS]]*50)</f>
        <v>100</v>
      </c>
      <c r="CD11" s="403">
        <f>ROUND(IF(WWWW[[#This Row],[Location Type 1]]="camp",WWWW[[#This Row],[Total PoP ]]/20),0)</f>
        <v>6</v>
      </c>
      <c r="CE11" s="403">
        <f>IF(WWWW[[#This Row],[Total required Latrines]]-WWWW[[#This Row],['#_Existing_latrines]]&lt;0,0,WWWW[[#This Row],[Total required Latrines]]-WWWW[[#This Row],['#_Existing_latrines]])</f>
        <v>6</v>
      </c>
      <c r="CF11" s="72">
        <f>1-WWWW[[#This Row],[% HRP2]]</f>
        <v>0.1228070175438597</v>
      </c>
      <c r="CG11" s="405" t="str">
        <f>IF(WWWW[[#This Row],['#_Existing_latrines]]="","NA",(WWWW[[#This Row],['#_Existing_latrines]]-WWWW[[#This Row],['#_Functional_adult_latrines]])/WWWW[[#This Row],['#_Existing_latrines]])</f>
        <v>NA</v>
      </c>
      <c r="CH11"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11"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114</v>
      </c>
      <c r="CJ11" s="403">
        <f>WWWW[[#This Row],['#_of_affected_women_and_girls_receiving_a_sufficient_quantity_of_sanitary_pads]]</f>
        <v>40</v>
      </c>
      <c r="CK11" s="403">
        <f>IF(WWWW[[#This Row],['# People with access to soap]]&gt;WWWW[[#This Row],['# People with access to Sanity Pads]],WWWW[[#This Row],['# People with access to soap]],WWWW[[#This Row],['# People with access to Sanity Pads]])</f>
        <v>114</v>
      </c>
      <c r="CL11" s="403">
        <f>IF(WWWW[[#This Row],['# people reached by regular dedicated hygiene promotion_5]]&gt;WWWW[[#This Row],['# People received regular supply of hygiene items_6]],WWWW[[#This Row],['# people reached by regular dedicated hygiene promotion_5]],WWWW[[#This Row],['# People received regular supply of hygiene items_6]])</f>
        <v>114</v>
      </c>
      <c r="CM11" s="406">
        <f>IF(WWWW[[#This Row],[HRP3]]/WWWW[[#This Row],[Total PoP ]]&gt;100%,100%,WWWW[[#This Row],[HRP3]]/WWWW[[#This Row],[Total PoP ]])</f>
        <v>1</v>
      </c>
      <c r="CN11" s="405">
        <f>1-WWWW[[#This Row],[Hygiene Coverage%]]</f>
        <v>0</v>
      </c>
      <c r="CO11" s="404">
        <f>WWWW[[#This Row],['# people reached by regular dedicated hygiene promotion_5]]/WWWW[[#This Row],[Total PoP ]]</f>
        <v>0</v>
      </c>
      <c r="CP11" s="404">
        <f>IF(WWWW[[#This Row],['#_of_affected_households_receiving_a_sufficient_quantity_of_soap]]/WWWW[[#This Row],[Total HH]]&gt;1,1,WWWW[[#This Row],['#_of_affected_households_receiving_a_sufficient_quantity_of_soap]]/WWWW[[#This Row],[Total HH]])</f>
        <v>1</v>
      </c>
      <c r="CQ11" s="401" t="str">
        <f>IF(WWWW[[#This Row],['#_students at TLS_CFS]]="","No","Yes")</f>
        <v>Yes</v>
      </c>
      <c r="CR11" s="399" t="str">
        <f>VLOOKUP(WWWW[[#This Row],[Site Name]],SiteDB6[[Site Name]:[CCCM Management]],6,FALSE)</f>
        <v>Yes</v>
      </c>
      <c r="CS11" s="399">
        <f>VLOOKUP(WWWW[[#This Row],[Site Name]],SiteDB6[[Site Name]:[CCCM Focal Agency]],7,FALSE)</f>
        <v>0</v>
      </c>
      <c r="CT11" s="399" t="str">
        <f>VLOOKUP(WWWW[[#This Row],[Site Name]],SiteDB6[[Site Name]:[Location Type 1]],9,FALSE)</f>
        <v>Camp</v>
      </c>
      <c r="CU11" s="399" t="str">
        <f>VLOOKUP(WWWW[[#This Row],[Site Name]],SiteDB6[[Site Name]:[Type of Accommodation]],10,FALSE)</f>
        <v>Host Families</v>
      </c>
      <c r="CV11" s="399" t="str">
        <f>VLOOKUP(WWWW[[#This Row],[Site Name]],SiteDB6[[Site Name]:[Ethnic or GCA/NGCA]],11,FALSE)</f>
        <v>Muslim</v>
      </c>
      <c r="CW11" s="399">
        <f>VLOOKUP(WWWW[[#This Row],[Site Name]],SiteDB6[[Site Name]:[Lat]],12,FALSE)</f>
        <v>20.182987000000001</v>
      </c>
      <c r="CX11" s="399">
        <f>VLOOKUP(WWWW[[#This Row],[Site Name]],SiteDB6[[Site Name]:[Long]],13,FALSE)</f>
        <v>92.804803000000007</v>
      </c>
      <c r="CY11" s="399" t="str">
        <f>VLOOKUP(WWWW[[#This Row],[Site Name]],SiteDB6[[Site Name]:[Pcode]],3,FALSE)</f>
        <v>MMR012CMP103</v>
      </c>
      <c r="CZ11" s="407" t="str">
        <f t="shared" si="0"/>
        <v>Covered</v>
      </c>
      <c r="DA11" s="407">
        <f>VLOOKUP(WWWW[[#This Row],[Site Name]],SiteDB6[[Site Name]:[PWD_Total]],22,FALSE)</f>
        <v>0</v>
      </c>
      <c r="DB11" s="407">
        <f>VLOOKUP(WWWW[[#This Row],[Site Name]],SiteDB6[[Site Name]:[PWD_Total]],23,FALSE)</f>
        <v>0</v>
      </c>
      <c r="DC11" s="407">
        <f>VLOOKUP(WWWW[[#This Row],[Site Name]],SiteDB6[[Site Name]:[PWD_Total]],24,FALSE)</f>
        <v>0</v>
      </c>
      <c r="DD11" s="407"/>
      <c r="DE11" s="33"/>
      <c r="DF11" s="33"/>
      <c r="DG11"/>
      <c r="DI11" s="37"/>
      <c r="DJ11" s="37"/>
      <c r="DK11" s="38"/>
      <c r="DL11" s="38"/>
      <c r="DT11" s="20"/>
      <c r="DU11" s="20"/>
    </row>
    <row r="12" spans="1:125">
      <c r="A12" s="394" t="s">
        <v>2388</v>
      </c>
      <c r="B12" s="394" t="s">
        <v>2309</v>
      </c>
      <c r="C12" s="400" t="s">
        <v>2309</v>
      </c>
      <c r="D12" s="400" t="s">
        <v>41</v>
      </c>
      <c r="E12" s="535" t="s">
        <v>2707</v>
      </c>
      <c r="F12" s="400" t="s">
        <v>299</v>
      </c>
      <c r="G12" s="535" t="str">
        <f>VLOOKUP(WWWW[[#This Row],[Site Name]],SiteDB6[[Site Name]:[Location Type]],8,FALSE)</f>
        <v>Camp</v>
      </c>
      <c r="H12" s="400" t="s">
        <v>428</v>
      </c>
      <c r="I12" s="402">
        <v>2009</v>
      </c>
      <c r="J12" s="402">
        <v>11625</v>
      </c>
      <c r="K12" s="408"/>
      <c r="L12" s="409">
        <v>44104</v>
      </c>
      <c r="M12" s="592">
        <v>232</v>
      </c>
      <c r="N12" s="592">
        <v>49</v>
      </c>
      <c r="O12" s="592">
        <f>115+60</f>
        <v>175</v>
      </c>
      <c r="P12" s="592">
        <v>0</v>
      </c>
      <c r="Q12" s="545" t="s">
        <v>130</v>
      </c>
      <c r="R12" s="592">
        <f>2+8</f>
        <v>10</v>
      </c>
      <c r="S12" s="592">
        <v>7</v>
      </c>
      <c r="T12" s="592">
        <v>66</v>
      </c>
      <c r="U12" s="592">
        <v>83</v>
      </c>
      <c r="V12" s="402"/>
      <c r="W12" s="402"/>
      <c r="X12" s="402"/>
      <c r="Y12" s="402"/>
      <c r="Z12" s="402"/>
      <c r="AA12" s="402"/>
      <c r="AB12" s="402"/>
      <c r="AC12" s="402"/>
      <c r="AD12" s="402">
        <v>0</v>
      </c>
      <c r="AE12" s="637"/>
      <c r="AF12" s="592">
        <v>399</v>
      </c>
      <c r="AG12" s="592">
        <v>498</v>
      </c>
      <c r="AH12" s="592">
        <v>112</v>
      </c>
      <c r="AI12" s="537">
        <v>0.96</v>
      </c>
      <c r="AJ12" s="592">
        <v>375</v>
      </c>
      <c r="AK12" s="537">
        <v>0.98</v>
      </c>
      <c r="AL12" s="537">
        <v>0.91</v>
      </c>
      <c r="AM12" s="537">
        <v>0.7</v>
      </c>
      <c r="AN12" s="537">
        <v>0.7</v>
      </c>
      <c r="AO12" s="592">
        <v>4</v>
      </c>
      <c r="AP12" s="592"/>
      <c r="AQ12" s="592">
        <v>2</v>
      </c>
      <c r="AR12" s="592" t="s">
        <v>42</v>
      </c>
      <c r="AS12" s="650"/>
      <c r="AT12" s="592">
        <v>87</v>
      </c>
      <c r="AU12" s="592">
        <v>538</v>
      </c>
      <c r="AV12" s="592">
        <v>659</v>
      </c>
      <c r="AW12" s="592">
        <v>547</v>
      </c>
      <c r="AX12" s="592">
        <v>2009</v>
      </c>
      <c r="AY12" s="592">
        <v>3699</v>
      </c>
      <c r="AZ12" s="402"/>
      <c r="BA12" s="402"/>
      <c r="BB12" s="402"/>
      <c r="BC12" s="404"/>
      <c r="BD12" s="650"/>
      <c r="BE12" s="537"/>
      <c r="BF12" s="537"/>
      <c r="BG12" s="537">
        <v>1</v>
      </c>
      <c r="BH12" s="537">
        <v>0.62</v>
      </c>
      <c r="BI12" s="402"/>
      <c r="BJ12" s="399"/>
      <c r="BK12" s="650"/>
      <c r="BL12" s="650"/>
      <c r="BM12" s="405" t="str">
        <f>IFERROR(WWWW[[#This Row],['#_Water samples _passed_at_water source]]/WWWW[[#This Row],['#_Water samples_Tested_at_water_source]],"no test")</f>
        <v>no test</v>
      </c>
      <c r="BN12" s="404" t="str">
        <f>IFERROR(WWWW[[#This Row],['#_Water samples _passed_at_HH]]/WWWW[[#This Row],['#_Water samples_Tested_at_HH]],"no test")</f>
        <v>no test</v>
      </c>
      <c r="BO12" s="403" t="str">
        <f>IF(AND(WWWW[[#This Row],[%of Water samples which passed at water source]]="no test",WWWW[[#This Row],[%Water samples which passed at HH]]="no test"),"No Test","Tested")</f>
        <v>No Test</v>
      </c>
      <c r="BP12"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2" s="401">
        <f>WWWW[[#This Row],[Access to safe/improved water through improved water sources]]*WWWW[[#This Row],[Total PoP ]]</f>
        <v>11625</v>
      </c>
      <c r="BR12" s="404">
        <f>IF((WWWW[[#This Row],['#_litres_of_water_stored_in_ponds]]/90/15)/WWWW[[#This Row],[Total PoP ]]&gt;1,1,(WWWW[[#This Row],['#_litres_of_water_stored_in_ponds]]/90/15)/WWWW[[#This Row],[Total PoP ]])</f>
        <v>0</v>
      </c>
      <c r="BS12" s="401">
        <f>WWWW[[#This Row],[% Access to unimproved water points]]*WWWW[[#This Row],[Total PoP ]]</f>
        <v>0</v>
      </c>
      <c r="BT12" s="404">
        <f>IF(WWWW[[#This Row],[Access to safe/improved water through improved water sources]]+WWWW[[#This Row],[% Access to unimproved water points]]&gt;1,1,WWWW[[#This Row],[Access to safe/improved water through improved water sources]]+WWWW[[#This Row],[% Access to unimproved water points]])</f>
        <v>1</v>
      </c>
      <c r="BU12"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11625</v>
      </c>
      <c r="BV12" s="401">
        <f>WWWW[[#This Row],[HRP1]]/500</f>
        <v>23.25</v>
      </c>
      <c r="BW12" s="406">
        <f>1-WWWW[[#This Row],[% HRP1]]</f>
        <v>0</v>
      </c>
      <c r="BX12" s="401">
        <f>WWWW[[#This Row],[%equitable and continuous access to sufficient quantity of safe drinking and domestic water''s GAP]]*WWWW[[#This Row],[Total PoP ]]</f>
        <v>0</v>
      </c>
      <c r="BY12" s="403">
        <f>ROUND(IF(WWWW[[#This Row],[Total PoP ]]&lt;500,1,WWWW[[#This Row],[Total PoP ]]/500),0)</f>
        <v>23</v>
      </c>
      <c r="BZ12" s="403">
        <f>IF(WWWW[[#This Row],[Total required water points]]-WWWW[[#This Row],['#Water points coverage]]&lt;0,0,WWWW[[#This Row],[Total required water points]]-WWWW[[#This Row],['#Water points coverage]])</f>
        <v>0</v>
      </c>
      <c r="CA12" s="404">
        <f>WWWW[[#This Row],[HRP2]]/WWWW[[#This Row],[Total PoP ]]</f>
        <v>0.70193548387096771</v>
      </c>
      <c r="CB12"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8160</v>
      </c>
      <c r="CC12" s="403">
        <f>IF(WWWW[[#This Row],['#_of_latrines_in_TLS/CFS]]*50&gt;WWWW[[#This Row],['#_students at TLS_CFS]],WWWW[[#This Row],['#_students at TLS_CFS]],WWWW[[#This Row],['#_of_latrines_in_TLS/CFS]]*50)</f>
        <v>100</v>
      </c>
      <c r="CD12" s="403">
        <f>ROUND(IF(WWWW[[#This Row],[Location Type 1]]="camp",WWWW[[#This Row],[Total PoP ]]/20),0)</f>
        <v>581</v>
      </c>
      <c r="CE12" s="403">
        <f>IF(WWWW[[#This Row],[Total required Latrines]]-WWWW[[#This Row],['#_Existing_latrines]]&lt;0,0,WWWW[[#This Row],[Total required Latrines]]-WWWW[[#This Row],['#_Existing_latrines]])</f>
        <v>83</v>
      </c>
      <c r="CF12" s="72">
        <f>1-WWWW[[#This Row],[% HRP2]]</f>
        <v>0.29806451612903229</v>
      </c>
      <c r="CG12" s="405">
        <f>IF(WWWW[[#This Row],['#_Existing_latrines]]="","NA",(WWWW[[#This Row],['#_Existing_latrines]]-WWWW[[#This Row],['#_Functional_adult_latrines]])/WWWW[[#This Row],['#_Existing_latrines]])</f>
        <v>0.19879518072289157</v>
      </c>
      <c r="CH12"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1831</v>
      </c>
      <c r="CI12"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11625</v>
      </c>
      <c r="CJ12" s="403">
        <f>WWWW[[#This Row],['#_of_affected_women_and_girls_receiving_a_sufficient_quantity_of_sanitary_pads]]</f>
        <v>3699</v>
      </c>
      <c r="CK12" s="403">
        <f>IF(WWWW[[#This Row],['# People with access to soap]]&gt;WWWW[[#This Row],['# People with access to Sanity Pads]],WWWW[[#This Row],['# People with access to soap]],WWWW[[#This Row],['# People with access to Sanity Pads]])</f>
        <v>11625</v>
      </c>
      <c r="CL12" s="403">
        <f>IF(WWWW[[#This Row],['# people reached by regular dedicated hygiene promotion_5]]&gt;WWWW[[#This Row],['# People received regular supply of hygiene items_6]],WWWW[[#This Row],['# people reached by regular dedicated hygiene promotion_5]],WWWW[[#This Row],['# People received regular supply of hygiene items_6]])</f>
        <v>11625</v>
      </c>
      <c r="CM12" s="406">
        <f>IF(WWWW[[#This Row],[HRP3]]/WWWW[[#This Row],[Total PoP ]]&gt;100%,100%,WWWW[[#This Row],[HRP3]]/WWWW[[#This Row],[Total PoP ]])</f>
        <v>1</v>
      </c>
      <c r="CN12" s="405">
        <f>1-WWWW[[#This Row],[Hygiene Coverage%]]</f>
        <v>0</v>
      </c>
      <c r="CO12" s="404">
        <f>WWWW[[#This Row],['# people reached by regular dedicated hygiene promotion_5]]/WWWW[[#This Row],[Total PoP ]]</f>
        <v>0.15750537634408601</v>
      </c>
      <c r="CP12" s="404">
        <f>IF(WWWW[[#This Row],['#_of_affected_households_receiving_a_sufficient_quantity_of_soap]]/WWWW[[#This Row],[Total HH]]&gt;1,1,WWWW[[#This Row],['#_of_affected_households_receiving_a_sufficient_quantity_of_soap]]/WWWW[[#This Row],[Total HH]])</f>
        <v>1</v>
      </c>
      <c r="CQ12" s="401" t="str">
        <f>IF(WWWW[[#This Row],['#_students at TLS_CFS]]="","No","Yes")</f>
        <v>Yes</v>
      </c>
      <c r="CR12" s="399" t="str">
        <f>VLOOKUP(WWWW[[#This Row],[Site Name]],SiteDB6[[Site Name]:[CCCM Management]],6,FALSE)</f>
        <v>Yes</v>
      </c>
      <c r="CS12" s="399">
        <f>VLOOKUP(WWWW[[#This Row],[Site Name]],SiteDB6[[Site Name]:[CCCM Focal Agency]],7,FALSE)</f>
        <v>0</v>
      </c>
      <c r="CT12" s="399" t="str">
        <f>VLOOKUP(WWWW[[#This Row],[Site Name]],SiteDB6[[Site Name]:[Location Type 1]],9,FALSE)</f>
        <v>Camp</v>
      </c>
      <c r="CU12" s="399" t="str">
        <f>VLOOKUP(WWWW[[#This Row],[Site Name]],SiteDB6[[Site Name]:[Type of Accommodation]],10,FALSE)</f>
        <v>Planned Camp</v>
      </c>
      <c r="CV12" s="399" t="str">
        <f>VLOOKUP(WWWW[[#This Row],[Site Name]],SiteDB6[[Site Name]:[Ethnic or GCA/NGCA]],11,FALSE)</f>
        <v>Muslim</v>
      </c>
      <c r="CW12" s="399">
        <f>VLOOKUP(WWWW[[#This Row],[Site Name]],SiteDB6[[Site Name]:[Lat]],12,FALSE)</f>
        <v>20.16846</v>
      </c>
      <c r="CX12" s="399">
        <f>VLOOKUP(WWWW[[#This Row],[Site Name]],SiteDB6[[Site Name]:[Long]],13,FALSE)</f>
        <v>92.827427</v>
      </c>
      <c r="CY12" s="399" t="str">
        <f>VLOOKUP(WWWW[[#This Row],[Site Name]],SiteDB6[[Site Name]:[Pcode]],3,FALSE)</f>
        <v>MMR012CMP041</v>
      </c>
      <c r="CZ12" s="407" t="str">
        <f t="shared" si="0"/>
        <v>Covered</v>
      </c>
      <c r="DA12" s="407">
        <f>VLOOKUP(WWWW[[#This Row],[Site Name]],SiteDB6[[Site Name]:[PWD_Total]],22,FALSE)</f>
        <v>92</v>
      </c>
      <c r="DB12" s="407">
        <f>VLOOKUP(WWWW[[#This Row],[Site Name]],SiteDB6[[Site Name]:[PWD_Total]],23,FALSE)</f>
        <v>645</v>
      </c>
      <c r="DC12" s="407">
        <f>VLOOKUP(WWWW[[#This Row],[Site Name]],SiteDB6[[Site Name]:[PWD_Total]],24,FALSE)</f>
        <v>737</v>
      </c>
      <c r="DD12" s="407"/>
      <c r="DE12" s="33"/>
      <c r="DF12" s="33"/>
      <c r="DG12"/>
      <c r="DI12" s="37"/>
      <c r="DJ12" s="37"/>
      <c r="DK12" s="38"/>
      <c r="DL12" s="38"/>
      <c r="DT12" s="20"/>
      <c r="DU12" s="20"/>
    </row>
    <row r="13" spans="1:125">
      <c r="A13" s="394" t="s">
        <v>2388</v>
      </c>
      <c r="B13" s="394" t="s">
        <v>2309</v>
      </c>
      <c r="C13" s="400" t="s">
        <v>2309</v>
      </c>
      <c r="D13" s="400" t="s">
        <v>41</v>
      </c>
      <c r="E13" s="535" t="s">
        <v>2707</v>
      </c>
      <c r="F13" s="400" t="s">
        <v>299</v>
      </c>
      <c r="G13" s="535" t="str">
        <f>VLOOKUP(WWWW[[#This Row],[Site Name]],SiteDB6[[Site Name]:[Location Type]],8,FALSE)</f>
        <v>Camp</v>
      </c>
      <c r="H13" s="400" t="s">
        <v>427</v>
      </c>
      <c r="I13" s="402">
        <v>604</v>
      </c>
      <c r="J13" s="402">
        <v>3360</v>
      </c>
      <c r="K13" s="408"/>
      <c r="L13" s="409">
        <v>44104</v>
      </c>
      <c r="M13" s="402"/>
      <c r="N13" s="402"/>
      <c r="O13" s="402"/>
      <c r="P13" s="402" t="s">
        <v>2676</v>
      </c>
      <c r="Q13" s="401"/>
      <c r="R13" s="402"/>
      <c r="S13" s="402"/>
      <c r="T13" s="592">
        <v>19</v>
      </c>
      <c r="U13" s="592">
        <v>20</v>
      </c>
      <c r="V13" s="402"/>
      <c r="W13" s="402"/>
      <c r="X13" s="592">
        <v>5</v>
      </c>
      <c r="Y13" s="592">
        <v>5</v>
      </c>
      <c r="Z13" s="592"/>
      <c r="AA13" s="592"/>
      <c r="AB13" s="402"/>
      <c r="AC13" s="402"/>
      <c r="AD13" s="402"/>
      <c r="AE13" s="637"/>
      <c r="AF13" s="592"/>
      <c r="AG13" s="592"/>
      <c r="AH13" s="592"/>
      <c r="AI13" s="537"/>
      <c r="AJ13" s="592"/>
      <c r="AK13" s="537"/>
      <c r="AL13" s="537"/>
      <c r="AM13" s="537"/>
      <c r="AN13" s="537"/>
      <c r="AO13" s="592"/>
      <c r="AP13" s="592"/>
      <c r="AQ13" s="592"/>
      <c r="AR13" s="592" t="s">
        <v>130</v>
      </c>
      <c r="AS13" s="650"/>
      <c r="AT13" s="592">
        <v>120</v>
      </c>
      <c r="AU13" s="592">
        <v>333</v>
      </c>
      <c r="AV13" s="592">
        <v>108</v>
      </c>
      <c r="AW13" s="592">
        <v>102</v>
      </c>
      <c r="AX13" s="592">
        <v>604</v>
      </c>
      <c r="AY13" s="592">
        <v>1170</v>
      </c>
      <c r="AZ13" s="402"/>
      <c r="BA13" s="402"/>
      <c r="BB13" s="402"/>
      <c r="BC13" s="404"/>
      <c r="BD13" s="650"/>
      <c r="BE13" s="537"/>
      <c r="BF13" s="537"/>
      <c r="BG13" s="537"/>
      <c r="BH13" s="537"/>
      <c r="BI13" s="402"/>
      <c r="BJ13" s="399"/>
      <c r="BK13" s="650"/>
      <c r="BL13" s="650"/>
      <c r="BM13" s="405">
        <f>IFERROR(WWWW[[#This Row],['#_Water samples _passed_at_water source]]/WWWW[[#This Row],['#_Water samples_Tested_at_water_source]],"no test")</f>
        <v>1</v>
      </c>
      <c r="BN13" s="404" t="str">
        <f>IFERROR(WWWW[[#This Row],['#_Water samples _passed_at_HH]]/WWWW[[#This Row],['#_Water samples_Tested_at_HH]],"no test")</f>
        <v>no test</v>
      </c>
      <c r="BO13" s="403" t="str">
        <f>IF(AND(WWWW[[#This Row],[%of Water samples which passed at water source]]="no test",WWWW[[#This Row],[%Water samples which passed at HH]]="no test"),"No Test","Tested")</f>
        <v>Tested</v>
      </c>
      <c r="BP13"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3" s="401">
        <f>WWWW[[#This Row],[Access to safe/improved water through improved water sources]]*WWWW[[#This Row],[Total PoP ]]</f>
        <v>3360</v>
      </c>
      <c r="BR13" s="404">
        <f>IF((WWWW[[#This Row],['#_litres_of_water_stored_in_ponds]]/90/15)/WWWW[[#This Row],[Total PoP ]]&gt;1,1,(WWWW[[#This Row],['#_litres_of_water_stored_in_ponds]]/90/15)/WWWW[[#This Row],[Total PoP ]])</f>
        <v>0</v>
      </c>
      <c r="BS13" s="401">
        <f>WWWW[[#This Row],[% Access to unimproved water points]]*WWWW[[#This Row],[Total PoP ]]</f>
        <v>0</v>
      </c>
      <c r="BT13" s="404">
        <f>IF(WWWW[[#This Row],[Access to safe/improved water through improved water sources]]+WWWW[[#This Row],[% Access to unimproved water points]]&gt;1,1,WWWW[[#This Row],[Access to safe/improved water through improved water sources]]+WWWW[[#This Row],[% Access to unimproved water points]])</f>
        <v>1</v>
      </c>
      <c r="BU13"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3360</v>
      </c>
      <c r="BV13" s="401">
        <f>WWWW[[#This Row],[HRP1]]/500</f>
        <v>6.72</v>
      </c>
      <c r="BW13" s="406">
        <f>1-WWWW[[#This Row],[% HRP1]]</f>
        <v>0</v>
      </c>
      <c r="BX13" s="401">
        <f>WWWW[[#This Row],[%equitable and continuous access to sufficient quantity of safe drinking and domestic water''s GAP]]*WWWW[[#This Row],[Total PoP ]]</f>
        <v>0</v>
      </c>
      <c r="BY13" s="403">
        <f>ROUND(IF(WWWW[[#This Row],[Total PoP ]]&lt;500,1,WWWW[[#This Row],[Total PoP ]]/500),0)</f>
        <v>7</v>
      </c>
      <c r="BZ13" s="403">
        <f>IF(WWWW[[#This Row],[Total required water points]]-WWWW[[#This Row],['#Water points coverage]]&lt;0,0,WWWW[[#This Row],[Total required water points]]-WWWW[[#This Row],['#Water points coverage]])</f>
        <v>0.28000000000000025</v>
      </c>
      <c r="CA13" s="404">
        <f>WWWW[[#This Row],[HRP2]]/WWWW[[#This Row],[Total PoP ]]</f>
        <v>0</v>
      </c>
      <c r="CB13"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0</v>
      </c>
      <c r="CC13" s="403">
        <f>IF(WWWW[[#This Row],['#_of_latrines_in_TLS/CFS]]*50&gt;WWWW[[#This Row],['#_students at TLS_CFS]],WWWW[[#This Row],['#_students at TLS_CFS]],WWWW[[#This Row],['#_of_latrines_in_TLS/CFS]]*50)</f>
        <v>0</v>
      </c>
      <c r="CD13" s="403">
        <f>ROUND(IF(WWWW[[#This Row],[Location Type 1]]="camp",WWWW[[#This Row],[Total PoP ]]/20),0)</f>
        <v>168</v>
      </c>
      <c r="CE13" s="403">
        <f>IF(WWWW[[#This Row],[Total required Latrines]]-WWWW[[#This Row],['#_Existing_latrines]]&lt;0,0,WWWW[[#This Row],[Total required Latrines]]-WWWW[[#This Row],['#_Existing_latrines]])</f>
        <v>168</v>
      </c>
      <c r="CF13" s="72">
        <f>1-WWWW[[#This Row],[% HRP2]]</f>
        <v>1</v>
      </c>
      <c r="CG13" s="405" t="str">
        <f>IF(WWWW[[#This Row],['#_Existing_latrines]]="","NA",(WWWW[[#This Row],['#_Existing_latrines]]-WWWW[[#This Row],['#_Functional_adult_latrines]])/WWWW[[#This Row],['#_Existing_latrines]])</f>
        <v>NA</v>
      </c>
      <c r="CH13"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663</v>
      </c>
      <c r="CI13"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3360</v>
      </c>
      <c r="CJ13" s="403">
        <f>WWWW[[#This Row],['#_of_affected_women_and_girls_receiving_a_sufficient_quantity_of_sanitary_pads]]</f>
        <v>1170</v>
      </c>
      <c r="CK13" s="403">
        <f>IF(WWWW[[#This Row],['# People with access to soap]]&gt;WWWW[[#This Row],['# People with access to Sanity Pads]],WWWW[[#This Row],['# People with access to soap]],WWWW[[#This Row],['# People with access to Sanity Pads]])</f>
        <v>3360</v>
      </c>
      <c r="CL13" s="403">
        <f>IF(WWWW[[#This Row],['# people reached by regular dedicated hygiene promotion_5]]&gt;WWWW[[#This Row],['# People received regular supply of hygiene items_6]],WWWW[[#This Row],['# people reached by regular dedicated hygiene promotion_5]],WWWW[[#This Row],['# People received regular supply of hygiene items_6]])</f>
        <v>3360</v>
      </c>
      <c r="CM13" s="406">
        <f>IF(WWWW[[#This Row],[HRP3]]/WWWW[[#This Row],[Total PoP ]]&gt;100%,100%,WWWW[[#This Row],[HRP3]]/WWWW[[#This Row],[Total PoP ]])</f>
        <v>1</v>
      </c>
      <c r="CN13" s="405">
        <f>1-WWWW[[#This Row],[Hygiene Coverage%]]</f>
        <v>0</v>
      </c>
      <c r="CO13" s="404">
        <f>WWWW[[#This Row],['# people reached by regular dedicated hygiene promotion_5]]/WWWW[[#This Row],[Total PoP ]]</f>
        <v>0.19732142857142856</v>
      </c>
      <c r="CP13" s="404">
        <f>IF(WWWW[[#This Row],['#_of_affected_households_receiving_a_sufficient_quantity_of_soap]]/WWWW[[#This Row],[Total HH]]&gt;1,1,WWWW[[#This Row],['#_of_affected_households_receiving_a_sufficient_quantity_of_soap]]/WWWW[[#This Row],[Total HH]])</f>
        <v>1</v>
      </c>
      <c r="CQ13" s="401" t="str">
        <f>IF(WWWW[[#This Row],['#_students at TLS_CFS]]="","No","Yes")</f>
        <v>No</v>
      </c>
      <c r="CR13" s="399" t="str">
        <f>VLOOKUP(WWWW[[#This Row],[Site Name]],SiteDB6[[Site Name]:[CCCM Management]],6,FALSE)</f>
        <v>Yes</v>
      </c>
      <c r="CS13" s="399">
        <f>VLOOKUP(WWWW[[#This Row],[Site Name]],SiteDB6[[Site Name]:[CCCM Focal Agency]],7,FALSE)</f>
        <v>0</v>
      </c>
      <c r="CT13" s="399" t="str">
        <f>VLOOKUP(WWWW[[#This Row],[Site Name]],SiteDB6[[Site Name]:[Location Type 1]],9,FALSE)</f>
        <v>Camp</v>
      </c>
      <c r="CU13" s="399" t="str">
        <f>VLOOKUP(WWWW[[#This Row],[Site Name]],SiteDB6[[Site Name]:[Type of Accommodation]],10,FALSE)</f>
        <v>Host Families</v>
      </c>
      <c r="CV13" s="399" t="str">
        <f>VLOOKUP(WWWW[[#This Row],[Site Name]],SiteDB6[[Site Name]:[Ethnic or GCA/NGCA]],11,FALSE)</f>
        <v>Muslim</v>
      </c>
      <c r="CW13" s="399">
        <f>VLOOKUP(WWWW[[#This Row],[Site Name]],SiteDB6[[Site Name]:[Lat]],12,FALSE)</f>
        <v>20.167421999999998</v>
      </c>
      <c r="CX13" s="399">
        <f>VLOOKUP(WWWW[[#This Row],[Site Name]],SiteDB6[[Site Name]:[Long]],13,FALSE)</f>
        <v>92.830074999999994</v>
      </c>
      <c r="CY13" s="399" t="str">
        <f>VLOOKUP(WWWW[[#This Row],[Site Name]],SiteDB6[[Site Name]:[Pcode]],3,FALSE)</f>
        <v>MMR012CMP097</v>
      </c>
      <c r="CZ13" s="407" t="str">
        <f t="shared" si="0"/>
        <v>Covered</v>
      </c>
      <c r="DA13" s="407">
        <f>VLOOKUP(WWWW[[#This Row],[Site Name]],SiteDB6[[Site Name]:[PWD_Total]],22,FALSE)</f>
        <v>0</v>
      </c>
      <c r="DB13" s="407">
        <f>VLOOKUP(WWWW[[#This Row],[Site Name]],SiteDB6[[Site Name]:[PWD_Total]],23,FALSE)</f>
        <v>0</v>
      </c>
      <c r="DC13" s="407">
        <f>VLOOKUP(WWWW[[#This Row],[Site Name]],SiteDB6[[Site Name]:[PWD_Total]],24,FALSE)</f>
        <v>0</v>
      </c>
      <c r="DD13" s="407"/>
      <c r="DE13" s="33"/>
      <c r="DF13" s="33"/>
      <c r="DG13"/>
      <c r="DI13" s="37"/>
      <c r="DJ13" s="37"/>
      <c r="DK13" s="38"/>
      <c r="DL13" s="38"/>
      <c r="DT13" s="20"/>
      <c r="DU13" s="20"/>
    </row>
    <row r="14" spans="1:125">
      <c r="A14" s="394" t="s">
        <v>2388</v>
      </c>
      <c r="B14" s="451" t="s">
        <v>2308</v>
      </c>
      <c r="C14" s="451" t="s">
        <v>2308</v>
      </c>
      <c r="D14" s="451" t="s">
        <v>41</v>
      </c>
      <c r="E14" s="535" t="s">
        <v>2707</v>
      </c>
      <c r="F14" s="400" t="s">
        <v>299</v>
      </c>
      <c r="G14" s="535" t="str">
        <f>VLOOKUP(WWWW[[#This Row],[Site Name]],SiteDB6[[Site Name]:[Location Type]],8,FALSE)</f>
        <v>Camp</v>
      </c>
      <c r="H14" s="400" t="s">
        <v>2310</v>
      </c>
      <c r="I14" s="402">
        <v>400</v>
      </c>
      <c r="J14" s="402">
        <v>2248</v>
      </c>
      <c r="K14" s="408"/>
      <c r="L14" s="409">
        <v>44104</v>
      </c>
      <c r="M14" s="592">
        <v>444</v>
      </c>
      <c r="N14" s="592">
        <v>20</v>
      </c>
      <c r="O14" s="592">
        <v>35</v>
      </c>
      <c r="P14" s="592">
        <v>0</v>
      </c>
      <c r="Q14" s="545" t="s">
        <v>130</v>
      </c>
      <c r="R14" s="592">
        <v>5</v>
      </c>
      <c r="S14" s="592">
        <v>6</v>
      </c>
      <c r="T14" s="592">
        <v>50</v>
      </c>
      <c r="U14" s="592">
        <v>51</v>
      </c>
      <c r="V14" s="402"/>
      <c r="W14" s="402"/>
      <c r="X14" s="592">
        <v>3</v>
      </c>
      <c r="Y14" s="592">
        <v>2</v>
      </c>
      <c r="Z14" s="592">
        <v>1</v>
      </c>
      <c r="AA14" s="592">
        <v>1</v>
      </c>
      <c r="AB14" s="402"/>
      <c r="AC14" s="402"/>
      <c r="AD14" s="402">
        <v>0</v>
      </c>
      <c r="AE14" s="637"/>
      <c r="AF14" s="592">
        <v>100</v>
      </c>
      <c r="AG14" s="592">
        <v>106</v>
      </c>
      <c r="AH14" s="592">
        <v>12</v>
      </c>
      <c r="AI14" s="537">
        <v>0.26</v>
      </c>
      <c r="AJ14" s="592">
        <v>91</v>
      </c>
      <c r="AK14" s="537">
        <v>1</v>
      </c>
      <c r="AL14" s="537">
        <v>0.36</v>
      </c>
      <c r="AM14" s="537">
        <v>1</v>
      </c>
      <c r="AN14" s="537">
        <v>1</v>
      </c>
      <c r="AO14" s="592"/>
      <c r="AP14" s="592"/>
      <c r="AQ14" s="592">
        <v>4</v>
      </c>
      <c r="AR14" s="592" t="s">
        <v>42</v>
      </c>
      <c r="AS14" s="650"/>
      <c r="AT14" s="592">
        <v>217</v>
      </c>
      <c r="AU14" s="592">
        <v>3095</v>
      </c>
      <c r="AV14" s="592">
        <v>0</v>
      </c>
      <c r="AW14" s="592">
        <v>535</v>
      </c>
      <c r="AX14" s="592">
        <v>400</v>
      </c>
      <c r="AY14" s="592"/>
      <c r="AZ14" s="402"/>
      <c r="BA14" s="402"/>
      <c r="BB14" s="402"/>
      <c r="BC14" s="404">
        <v>0.5</v>
      </c>
      <c r="BD14" s="650"/>
      <c r="BE14" s="537"/>
      <c r="BF14" s="537"/>
      <c r="BG14" s="592"/>
      <c r="BH14" s="537"/>
      <c r="BI14" s="402"/>
      <c r="BJ14" s="399"/>
      <c r="BK14" s="650"/>
      <c r="BL14" s="650"/>
      <c r="BM14" s="405">
        <f>IFERROR(WWWW[[#This Row],['#_Water samples _passed_at_water source]]/WWWW[[#This Row],['#_Water samples_Tested_at_water_source]],"no test")</f>
        <v>0.66666666666666663</v>
      </c>
      <c r="BN14" s="404">
        <f>IFERROR(WWWW[[#This Row],['#_Water samples _passed_at_HH]]/WWWW[[#This Row],['#_Water samples_Tested_at_HH]],"no test")</f>
        <v>1</v>
      </c>
      <c r="BO14" s="403" t="str">
        <f>IF(AND(WWWW[[#This Row],[%of Water samples which passed at water source]]="no test",WWWW[[#This Row],[%Water samples which passed at HH]]="no test"),"No Test","Tested")</f>
        <v>Tested</v>
      </c>
      <c r="BP14"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4" s="401">
        <f>WWWW[[#This Row],[Access to safe/improved water through improved water sources]]*WWWW[[#This Row],[Total PoP ]]</f>
        <v>2248</v>
      </c>
      <c r="BR14" s="404">
        <f>IF((WWWW[[#This Row],['#_litres_of_water_stored_in_ponds]]/90/15)/WWWW[[#This Row],[Total PoP ]]&gt;1,1,(WWWW[[#This Row],['#_litres_of_water_stored_in_ponds]]/90/15)/WWWW[[#This Row],[Total PoP ]])</f>
        <v>0</v>
      </c>
      <c r="BS14" s="401">
        <f>WWWW[[#This Row],[% Access to unimproved water points]]*WWWW[[#This Row],[Total PoP ]]</f>
        <v>0</v>
      </c>
      <c r="BT14" s="404">
        <f>IF(WWWW[[#This Row],[Access to safe/improved water through improved water sources]]+WWWW[[#This Row],[% Access to unimproved water points]]&gt;1,1,WWWW[[#This Row],[Access to safe/improved water through improved water sources]]+WWWW[[#This Row],[% Access to unimproved water points]])</f>
        <v>1</v>
      </c>
      <c r="BU14"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2248</v>
      </c>
      <c r="BV14" s="401">
        <f>WWWW[[#This Row],[HRP1]]/500</f>
        <v>4.4960000000000004</v>
      </c>
      <c r="BW14" s="406">
        <f>1-WWWW[[#This Row],[% HRP1]]</f>
        <v>0</v>
      </c>
      <c r="BX14" s="401">
        <f>WWWW[[#This Row],[%equitable and continuous access to sufficient quantity of safe drinking and domestic water''s GAP]]*WWWW[[#This Row],[Total PoP ]]</f>
        <v>0</v>
      </c>
      <c r="BY14" s="403">
        <f>ROUND(IF(WWWW[[#This Row],[Total PoP ]]&lt;500,1,WWWW[[#This Row],[Total PoP ]]/500),0)</f>
        <v>4</v>
      </c>
      <c r="BZ14" s="403">
        <f>IF(WWWW[[#This Row],[Total required water points]]-WWWW[[#This Row],['#Water points coverage]]&lt;0,0,WWWW[[#This Row],[Total required water points]]-WWWW[[#This Row],['#Water points coverage]])</f>
        <v>0</v>
      </c>
      <c r="CA14" s="404">
        <f>WWWW[[#This Row],[HRP2]]/WWWW[[#This Row],[Total PoP ]]</f>
        <v>0.97864768683274017</v>
      </c>
      <c r="CB14"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2200</v>
      </c>
      <c r="CC14" s="403">
        <f>IF(WWWW[[#This Row],['#_of_latrines_in_TLS/CFS]]*50&gt;WWWW[[#This Row],['#_students at TLS_CFS]],WWWW[[#This Row],['#_students at TLS_CFS]],WWWW[[#This Row],['#_of_latrines_in_TLS/CFS]]*50)</f>
        <v>200</v>
      </c>
      <c r="CD14" s="403">
        <f>ROUND(IF(WWWW[[#This Row],[Location Type 1]]="camp",WWWW[[#This Row],[Total PoP ]]/20),0)</f>
        <v>112</v>
      </c>
      <c r="CE14" s="403">
        <f>IF(WWWW[[#This Row],[Total required Latrines]]-WWWW[[#This Row],['#_Existing_latrines]]&lt;0,0,WWWW[[#This Row],[Total required Latrines]]-WWWW[[#This Row],['#_Existing_latrines]])</f>
        <v>6</v>
      </c>
      <c r="CF14" s="72">
        <f>1-WWWW[[#This Row],[% HRP2]]</f>
        <v>2.1352313167259829E-2</v>
      </c>
      <c r="CG14" s="405">
        <f>IF(WWWW[[#This Row],['#_Existing_latrines]]="","NA",(WWWW[[#This Row],['#_Existing_latrines]]-WWWW[[#This Row],['#_Functional_adult_latrines]])/WWWW[[#This Row],['#_Existing_latrines]])</f>
        <v>5.6603773584905662E-2</v>
      </c>
      <c r="CH14"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2248</v>
      </c>
      <c r="CI14"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2248</v>
      </c>
      <c r="CJ14" s="403">
        <f>WWWW[[#This Row],['#_of_affected_women_and_girls_receiving_a_sufficient_quantity_of_sanitary_pads]]</f>
        <v>0</v>
      </c>
      <c r="CK14" s="403">
        <f>IF(WWWW[[#This Row],['# People with access to soap]]&gt;WWWW[[#This Row],['# People with access to Sanity Pads]],WWWW[[#This Row],['# People with access to soap]],WWWW[[#This Row],['# People with access to Sanity Pads]])</f>
        <v>2248</v>
      </c>
      <c r="CL14" s="403">
        <f>IF(WWWW[[#This Row],['# people reached by regular dedicated hygiene promotion_5]]&gt;WWWW[[#This Row],['# People received regular supply of hygiene items_6]],WWWW[[#This Row],['# people reached by regular dedicated hygiene promotion_5]],WWWW[[#This Row],['# People received regular supply of hygiene items_6]])</f>
        <v>2248</v>
      </c>
      <c r="CM14" s="406">
        <f>IF(WWWW[[#This Row],[HRP3]]/WWWW[[#This Row],[Total PoP ]]&gt;100%,100%,WWWW[[#This Row],[HRP3]]/WWWW[[#This Row],[Total PoP ]])</f>
        <v>1</v>
      </c>
      <c r="CN14" s="405">
        <f>1-WWWW[[#This Row],[Hygiene Coverage%]]</f>
        <v>0</v>
      </c>
      <c r="CO14" s="404">
        <f>WWWW[[#This Row],['# people reached by regular dedicated hygiene promotion_5]]/WWWW[[#This Row],[Total PoP ]]</f>
        <v>1</v>
      </c>
      <c r="CP14" s="404">
        <f>IF(WWWW[[#This Row],['#_of_affected_households_receiving_a_sufficient_quantity_of_soap]]/WWWW[[#This Row],[Total HH]]&gt;1,1,WWWW[[#This Row],['#_of_affected_households_receiving_a_sufficient_quantity_of_soap]]/WWWW[[#This Row],[Total HH]])</f>
        <v>1</v>
      </c>
      <c r="CQ14" s="401" t="str">
        <f>IF(WWWW[[#This Row],['#_students at TLS_CFS]]="","No","Yes")</f>
        <v>Yes</v>
      </c>
      <c r="CR14" s="399" t="str">
        <f>VLOOKUP(WWWW[[#This Row],[Site Name]],SiteDB6[[Site Name]:[CCCM Management]],6,FALSE)</f>
        <v>Yes</v>
      </c>
      <c r="CS14" s="399">
        <f>VLOOKUP(WWWW[[#This Row],[Site Name]],SiteDB6[[Site Name]:[CCCM Focal Agency]],7,FALSE)</f>
        <v>0</v>
      </c>
      <c r="CT14" s="399" t="str">
        <f>VLOOKUP(WWWW[[#This Row],[Site Name]],SiteDB6[[Site Name]:[Location Type 1]],9,FALSE)</f>
        <v>Camp</v>
      </c>
      <c r="CU14" s="399" t="str">
        <f>VLOOKUP(WWWW[[#This Row],[Site Name]],SiteDB6[[Site Name]:[Type of Accommodation]],10,FALSE)</f>
        <v>Planned Camp</v>
      </c>
      <c r="CV14" s="399" t="str">
        <f>VLOOKUP(WWWW[[#This Row],[Site Name]],SiteDB6[[Site Name]:[Ethnic or GCA/NGCA]],11,FALSE)</f>
        <v>Muslim</v>
      </c>
      <c r="CW14" s="399">
        <f>VLOOKUP(WWWW[[#This Row],[Site Name]],SiteDB6[[Site Name]:[Lat]],12,FALSE)</f>
        <v>20.181778000000001</v>
      </c>
      <c r="CX14" s="399">
        <f>VLOOKUP(WWWW[[#This Row],[Site Name]],SiteDB6[[Site Name]:[Long]],13,FALSE)</f>
        <v>92.823166999999998</v>
      </c>
      <c r="CY14" s="399" t="str">
        <f>VLOOKUP(WWWW[[#This Row],[Site Name]],SiteDB6[[Site Name]:[Pcode]],3,FALSE)</f>
        <v>MMR012CMP042</v>
      </c>
      <c r="CZ14" s="407" t="str">
        <f t="shared" si="0"/>
        <v>Covered</v>
      </c>
      <c r="DA14" s="407">
        <f>VLOOKUP(WWWW[[#This Row],[Site Name]],SiteDB6[[Site Name]:[PWD_Total]],22,FALSE)</f>
        <v>47</v>
      </c>
      <c r="DB14" s="407">
        <f>VLOOKUP(WWWW[[#This Row],[Site Name]],SiteDB6[[Site Name]:[PWD_Total]],23,FALSE)</f>
        <v>312</v>
      </c>
      <c r="DC14" s="407">
        <f>VLOOKUP(WWWW[[#This Row],[Site Name]],SiteDB6[[Site Name]:[PWD_Total]],24,FALSE)</f>
        <v>359</v>
      </c>
      <c r="DD14" s="407"/>
      <c r="DE14" s="33"/>
      <c r="DF14" s="33"/>
      <c r="DG14"/>
      <c r="DI14" s="37"/>
      <c r="DJ14" s="37"/>
      <c r="DK14" s="38"/>
      <c r="DL14" s="38"/>
      <c r="DT14" s="20"/>
      <c r="DU14" s="20"/>
    </row>
    <row r="15" spans="1:125">
      <c r="A15" s="394" t="s">
        <v>2388</v>
      </c>
      <c r="B15" s="394" t="s">
        <v>2309</v>
      </c>
      <c r="C15" s="400" t="s">
        <v>2309</v>
      </c>
      <c r="D15" s="400" t="s">
        <v>41</v>
      </c>
      <c r="E15" s="535" t="s">
        <v>2707</v>
      </c>
      <c r="F15" s="400" t="s">
        <v>299</v>
      </c>
      <c r="G15" s="535" t="str">
        <f>VLOOKUP(WWWW[[#This Row],[Site Name]],SiteDB6[[Site Name]:[Location Type]],8,FALSE)</f>
        <v>Camp</v>
      </c>
      <c r="H15" s="400" t="s">
        <v>2311</v>
      </c>
      <c r="I15" s="402">
        <v>400</v>
      </c>
      <c r="J15" s="402">
        <v>2186</v>
      </c>
      <c r="K15" s="408"/>
      <c r="L15" s="409">
        <v>44104</v>
      </c>
      <c r="M15" s="592">
        <v>357</v>
      </c>
      <c r="N15" s="592">
        <v>49</v>
      </c>
      <c r="O15" s="592">
        <f>115+54</f>
        <v>169</v>
      </c>
      <c r="P15" s="592">
        <v>0</v>
      </c>
      <c r="Q15" s="545" t="s">
        <v>130</v>
      </c>
      <c r="R15" s="592">
        <v>3</v>
      </c>
      <c r="S15" s="592">
        <v>2</v>
      </c>
      <c r="T15" s="592">
        <v>24</v>
      </c>
      <c r="U15" s="592">
        <v>28</v>
      </c>
      <c r="V15" s="402"/>
      <c r="W15" s="402"/>
      <c r="X15" s="402"/>
      <c r="Y15" s="402"/>
      <c r="Z15" s="402"/>
      <c r="AA15" s="402"/>
      <c r="AB15" s="402"/>
      <c r="AC15" s="402"/>
      <c r="AD15" s="402">
        <v>0</v>
      </c>
      <c r="AE15" s="637"/>
      <c r="AF15" s="592">
        <v>78</v>
      </c>
      <c r="AG15" s="592">
        <v>104</v>
      </c>
      <c r="AH15" s="592">
        <v>72</v>
      </c>
      <c r="AI15" s="537">
        <v>0.68</v>
      </c>
      <c r="AJ15" s="592">
        <v>67</v>
      </c>
      <c r="AK15" s="537">
        <v>1</v>
      </c>
      <c r="AL15" s="537">
        <v>0.91</v>
      </c>
      <c r="AM15" s="537">
        <v>1</v>
      </c>
      <c r="AN15" s="537">
        <v>1</v>
      </c>
      <c r="AO15" s="592"/>
      <c r="AP15" s="592"/>
      <c r="AQ15" s="592">
        <v>3</v>
      </c>
      <c r="AR15" s="592" t="s">
        <v>42</v>
      </c>
      <c r="AS15" s="650"/>
      <c r="AT15" s="592">
        <v>121</v>
      </c>
      <c r="AU15" s="592">
        <v>438</v>
      </c>
      <c r="AV15" s="592">
        <v>269</v>
      </c>
      <c r="AW15" s="592">
        <v>400</v>
      </c>
      <c r="AX15" s="592">
        <v>400</v>
      </c>
      <c r="AY15" s="592">
        <v>670</v>
      </c>
      <c r="AZ15" s="402"/>
      <c r="BA15" s="402"/>
      <c r="BB15" s="402"/>
      <c r="BC15" s="404">
        <v>1</v>
      </c>
      <c r="BD15" s="650"/>
      <c r="BE15" s="537"/>
      <c r="BF15" s="537"/>
      <c r="BG15" s="537">
        <v>1</v>
      </c>
      <c r="BH15" s="537">
        <v>1</v>
      </c>
      <c r="BI15" s="402"/>
      <c r="BJ15" s="399"/>
      <c r="BK15" s="651"/>
      <c r="BL15" s="650"/>
      <c r="BM15" s="405" t="str">
        <f>IFERROR(WWWW[[#This Row],['#_Water samples _passed_at_water source]]/WWWW[[#This Row],['#_Water samples_Tested_at_water_source]],"no test")</f>
        <v>no test</v>
      </c>
      <c r="BN15" s="404" t="str">
        <f>IFERROR(WWWW[[#This Row],['#_Water samples _passed_at_HH]]/WWWW[[#This Row],['#_Water samples_Tested_at_HH]],"no test")</f>
        <v>no test</v>
      </c>
      <c r="BO15" s="403" t="str">
        <f>IF(AND(WWWW[[#This Row],[%of Water samples which passed at water source]]="no test",WWWW[[#This Row],[%Water samples which passed at HH]]="no test"),"No Test","Tested")</f>
        <v>No Test</v>
      </c>
      <c r="BP15"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5" s="401">
        <f>WWWW[[#This Row],[Access to safe/improved water through improved water sources]]*WWWW[[#This Row],[Total PoP ]]</f>
        <v>2186</v>
      </c>
      <c r="BR15" s="404">
        <f>IF((WWWW[[#This Row],['#_litres_of_water_stored_in_ponds]]/90/15)/WWWW[[#This Row],[Total PoP ]]&gt;1,1,(WWWW[[#This Row],['#_litres_of_water_stored_in_ponds]]/90/15)/WWWW[[#This Row],[Total PoP ]])</f>
        <v>0</v>
      </c>
      <c r="BS15" s="401">
        <f>WWWW[[#This Row],[% Access to unimproved water points]]*WWWW[[#This Row],[Total PoP ]]</f>
        <v>0</v>
      </c>
      <c r="BT15" s="404">
        <f>IF(WWWW[[#This Row],[Access to safe/improved water through improved water sources]]+WWWW[[#This Row],[% Access to unimproved water points]]&gt;1,1,WWWW[[#This Row],[Access to safe/improved water through improved water sources]]+WWWW[[#This Row],[% Access to unimproved water points]])</f>
        <v>1</v>
      </c>
      <c r="BU15"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2186</v>
      </c>
      <c r="BV15" s="401">
        <f>WWWW[[#This Row],[HRP1]]/500</f>
        <v>4.3719999999999999</v>
      </c>
      <c r="BW15" s="406">
        <f>1-WWWW[[#This Row],[% HRP1]]</f>
        <v>0</v>
      </c>
      <c r="BX15" s="401">
        <f>WWWW[[#This Row],[%equitable and continuous access to sufficient quantity of safe drinking and domestic water''s GAP]]*WWWW[[#This Row],[Total PoP ]]</f>
        <v>0</v>
      </c>
      <c r="BY15" s="403">
        <f>ROUND(IF(WWWW[[#This Row],[Total PoP ]]&lt;500,1,WWWW[[#This Row],[Total PoP ]]/500),0)</f>
        <v>4</v>
      </c>
      <c r="BZ15" s="403">
        <f>IF(WWWW[[#This Row],[Total required water points]]-WWWW[[#This Row],['#Water points coverage]]&lt;0,0,WWWW[[#This Row],[Total required water points]]-WWWW[[#This Row],['#Water points coverage]])</f>
        <v>0</v>
      </c>
      <c r="CA15" s="404">
        <f>WWWW[[#This Row],[HRP2]]/WWWW[[#This Row],[Total PoP ]]</f>
        <v>0.78225068618481242</v>
      </c>
      <c r="CB15"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1710</v>
      </c>
      <c r="CC15" s="403">
        <f>IF(WWWW[[#This Row],['#_of_latrines_in_TLS/CFS]]*50&gt;WWWW[[#This Row],['#_students at TLS_CFS]],WWWW[[#This Row],['#_students at TLS_CFS]],WWWW[[#This Row],['#_of_latrines_in_TLS/CFS]]*50)</f>
        <v>150</v>
      </c>
      <c r="CD15" s="403">
        <f>ROUND(IF(WWWW[[#This Row],[Location Type 1]]="camp",WWWW[[#This Row],[Total PoP ]]/20),0)</f>
        <v>109</v>
      </c>
      <c r="CE15" s="403">
        <f>IF(WWWW[[#This Row],[Total required Latrines]]-WWWW[[#This Row],['#_Existing_latrines]]&lt;0,0,WWWW[[#This Row],[Total required Latrines]]-WWWW[[#This Row],['#_Existing_latrines]])</f>
        <v>5</v>
      </c>
      <c r="CF15" s="72">
        <f>1-WWWW[[#This Row],[% HRP2]]</f>
        <v>0.21774931381518758</v>
      </c>
      <c r="CG15" s="405">
        <f>IF(WWWW[[#This Row],['#_Existing_latrines]]="","NA",(WWWW[[#This Row],['#_Existing_latrines]]-WWWW[[#This Row],['#_Functional_adult_latrines]])/WWWW[[#This Row],['#_Existing_latrines]])</f>
        <v>0.25</v>
      </c>
      <c r="CH15"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1228</v>
      </c>
      <c r="CI15"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2186</v>
      </c>
      <c r="CJ15" s="403">
        <f>WWWW[[#This Row],['#_of_affected_women_and_girls_receiving_a_sufficient_quantity_of_sanitary_pads]]</f>
        <v>670</v>
      </c>
      <c r="CK15" s="403">
        <f>IF(WWWW[[#This Row],['# People with access to soap]]&gt;WWWW[[#This Row],['# People with access to Sanity Pads]],WWWW[[#This Row],['# People with access to soap]],WWWW[[#This Row],['# People with access to Sanity Pads]])</f>
        <v>2186</v>
      </c>
      <c r="CL15" s="403">
        <f>IF(WWWW[[#This Row],['# people reached by regular dedicated hygiene promotion_5]]&gt;WWWW[[#This Row],['# People received regular supply of hygiene items_6]],WWWW[[#This Row],['# people reached by regular dedicated hygiene promotion_5]],WWWW[[#This Row],['# People received regular supply of hygiene items_6]])</f>
        <v>2186</v>
      </c>
      <c r="CM15" s="406">
        <f>IF(WWWW[[#This Row],[HRP3]]/WWWW[[#This Row],[Total PoP ]]&gt;100%,100%,WWWW[[#This Row],[HRP3]]/WWWW[[#This Row],[Total PoP ]])</f>
        <v>1</v>
      </c>
      <c r="CN15" s="405">
        <f>1-WWWW[[#This Row],[Hygiene Coverage%]]</f>
        <v>0</v>
      </c>
      <c r="CO15" s="404">
        <f>WWWW[[#This Row],['# people reached by regular dedicated hygiene promotion_5]]/WWWW[[#This Row],[Total PoP ]]</f>
        <v>0.56175663311985358</v>
      </c>
      <c r="CP15" s="404">
        <f>IF(WWWW[[#This Row],['#_of_affected_households_receiving_a_sufficient_quantity_of_soap]]/WWWW[[#This Row],[Total HH]]&gt;1,1,WWWW[[#This Row],['#_of_affected_households_receiving_a_sufficient_quantity_of_soap]]/WWWW[[#This Row],[Total HH]])</f>
        <v>1</v>
      </c>
      <c r="CQ15" s="401" t="str">
        <f>IF(WWWW[[#This Row],['#_students at TLS_CFS]]="","No","Yes")</f>
        <v>Yes</v>
      </c>
      <c r="CR15" s="399">
        <f>VLOOKUP(WWWW[[#This Row],[Site Name]],SiteDB6[[Site Name]:[CCCM Management]],6,FALSE)</f>
        <v>0</v>
      </c>
      <c r="CS15" s="399">
        <f>VLOOKUP(WWWW[[#This Row],[Site Name]],SiteDB6[[Site Name]:[CCCM Focal Agency]],7,FALSE)</f>
        <v>0</v>
      </c>
      <c r="CT15" s="399" t="str">
        <f>VLOOKUP(WWWW[[#This Row],[Site Name]],SiteDB6[[Site Name]:[Location Type 1]],9,FALSE)</f>
        <v>Camp</v>
      </c>
      <c r="CU15" s="399" t="str">
        <f>VLOOKUP(WWWW[[#This Row],[Site Name]],SiteDB6[[Site Name]:[Type of Accommodation]],10,FALSE)</f>
        <v>Planned Camp</v>
      </c>
      <c r="CV15" s="399" t="str">
        <f>VLOOKUP(WWWW[[#This Row],[Site Name]],SiteDB6[[Site Name]:[Ethnic or GCA/NGCA]],11,FALSE)</f>
        <v>Muslim</v>
      </c>
      <c r="CW15" s="399">
        <f>VLOOKUP(WWWW[[#This Row],[Site Name]],SiteDB6[[Site Name]:[Lat]],12,FALSE)</f>
        <v>20.180194</v>
      </c>
      <c r="CX15" s="399">
        <f>VLOOKUP(WWWW[[#This Row],[Site Name]],SiteDB6[[Site Name]:[Long]],13,FALSE)</f>
        <v>92.816638999999995</v>
      </c>
      <c r="CY15" s="399" t="str">
        <f>VLOOKUP(WWWW[[#This Row],[Site Name]],SiteDB6[[Site Name]:[Pcode]],3,FALSE)</f>
        <v>MMR012CMP042</v>
      </c>
      <c r="CZ15" s="407" t="str">
        <f t="shared" si="0"/>
        <v>Covered</v>
      </c>
      <c r="DA15" s="407">
        <f>VLOOKUP(WWWW[[#This Row],[Site Name]],SiteDB6[[Site Name]:[PWD_Total]],22,FALSE)</f>
        <v>68</v>
      </c>
      <c r="DB15" s="407">
        <f>VLOOKUP(WWWW[[#This Row],[Site Name]],SiteDB6[[Site Name]:[PWD_Total]],23,FALSE)</f>
        <v>265</v>
      </c>
      <c r="DC15" s="407">
        <f>VLOOKUP(WWWW[[#This Row],[Site Name]],SiteDB6[[Site Name]:[PWD_Total]],24,FALSE)</f>
        <v>333</v>
      </c>
      <c r="DD15" s="407"/>
      <c r="DE15" s="33"/>
      <c r="DF15" s="33"/>
      <c r="DG15"/>
      <c r="DI15" s="37"/>
      <c r="DJ15" s="37"/>
      <c r="DK15" s="38"/>
      <c r="DL15" s="38"/>
      <c r="DT15" s="20"/>
      <c r="DU15" s="20"/>
    </row>
    <row r="16" spans="1:125" ht="102">
      <c r="A16" s="394" t="s">
        <v>2388</v>
      </c>
      <c r="B16" s="394" t="s">
        <v>2295</v>
      </c>
      <c r="C16" s="400" t="s">
        <v>2295</v>
      </c>
      <c r="D16" s="400" t="s">
        <v>235</v>
      </c>
      <c r="E16" s="535" t="s">
        <v>2707</v>
      </c>
      <c r="F16" s="400" t="s">
        <v>361</v>
      </c>
      <c r="G16" s="535" t="str">
        <f>VLOOKUP(WWWW[[#This Row],[Site Name]],SiteDB6[[Site Name]:[Location Type]],8,FALSE)</f>
        <v>Camp</v>
      </c>
      <c r="H16" s="400" t="s">
        <v>372</v>
      </c>
      <c r="I16" s="402">
        <v>356</v>
      </c>
      <c r="J16" s="402">
        <v>979</v>
      </c>
      <c r="K16" s="408">
        <v>43539</v>
      </c>
      <c r="L16" s="409">
        <v>43904</v>
      </c>
      <c r="M16" s="402">
        <v>244</v>
      </c>
      <c r="N16" s="402">
        <v>6</v>
      </c>
      <c r="O16" s="402">
        <v>23</v>
      </c>
      <c r="P16" s="402">
        <v>0</v>
      </c>
      <c r="Q16" s="401" t="s">
        <v>130</v>
      </c>
      <c r="R16" s="402">
        <v>24</v>
      </c>
      <c r="S16" s="402">
        <v>5</v>
      </c>
      <c r="T16" s="592">
        <v>10</v>
      </c>
      <c r="U16" s="592">
        <v>22</v>
      </c>
      <c r="V16" s="592">
        <v>0</v>
      </c>
      <c r="W16" s="592">
        <v>0</v>
      </c>
      <c r="X16" s="592">
        <v>18</v>
      </c>
      <c r="Y16" s="592">
        <v>9</v>
      </c>
      <c r="Z16" s="592">
        <v>3</v>
      </c>
      <c r="AA16" s="592">
        <v>1</v>
      </c>
      <c r="AB16" s="402"/>
      <c r="AC16" s="402"/>
      <c r="AD16" s="402">
        <v>1</v>
      </c>
      <c r="AE16" s="637"/>
      <c r="AF16" s="402">
        <v>94</v>
      </c>
      <c r="AG16" s="402">
        <v>94</v>
      </c>
      <c r="AH16" s="402">
        <v>25</v>
      </c>
      <c r="AI16" s="404">
        <v>0</v>
      </c>
      <c r="AJ16" s="592">
        <v>3</v>
      </c>
      <c r="AK16" s="537">
        <v>1</v>
      </c>
      <c r="AL16" s="537">
        <v>1</v>
      </c>
      <c r="AM16" s="537">
        <v>1</v>
      </c>
      <c r="AN16" s="537">
        <v>1</v>
      </c>
      <c r="AO16" s="402"/>
      <c r="AP16" s="402"/>
      <c r="AQ16" s="592">
        <v>10</v>
      </c>
      <c r="AR16" s="592" t="s">
        <v>42</v>
      </c>
      <c r="AS16" s="650"/>
      <c r="AT16" s="592">
        <v>557</v>
      </c>
      <c r="AU16" s="592">
        <v>511</v>
      </c>
      <c r="AV16" s="592">
        <v>0</v>
      </c>
      <c r="AW16" s="592">
        <v>0</v>
      </c>
      <c r="AX16" s="592">
        <v>356</v>
      </c>
      <c r="AY16" s="592">
        <v>360</v>
      </c>
      <c r="AZ16" s="537">
        <v>0</v>
      </c>
      <c r="BA16" s="537"/>
      <c r="BB16" s="537">
        <v>0.8</v>
      </c>
      <c r="BC16" s="537">
        <v>0.95</v>
      </c>
      <c r="BD16" s="651"/>
      <c r="BE16" s="404"/>
      <c r="BF16" s="404"/>
      <c r="BG16" s="402"/>
      <c r="BH16" s="404"/>
      <c r="BI16" s="402"/>
      <c r="BJ16" s="540" t="s">
        <v>42</v>
      </c>
      <c r="BK16" s="715" t="s">
        <v>3096</v>
      </c>
      <c r="BL16" s="715" t="s">
        <v>3097</v>
      </c>
      <c r="BM16" s="405">
        <f>IFERROR(WWWW[[#This Row],['#_Water samples _passed_at_water source]]/WWWW[[#This Row],['#_Water samples_Tested_at_water_source]],"no test")</f>
        <v>0.5</v>
      </c>
      <c r="BN16" s="404">
        <f>IFERROR(WWWW[[#This Row],['#_Water samples _passed_at_HH]]/WWWW[[#This Row],['#_Water samples_Tested_at_HH]],"no test")</f>
        <v>0.33333333333333331</v>
      </c>
      <c r="BO16" s="403" t="str">
        <f>IF(AND(WWWW[[#This Row],[%of Water samples which passed at water source]]="no test",WWWW[[#This Row],[%Water samples which passed at HH]]="no test"),"No Test","Tested")</f>
        <v>Tested</v>
      </c>
      <c r="BP16"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6" s="401">
        <f>WWWW[[#This Row],[Access to safe/improved water through improved water sources]]*WWWW[[#This Row],[Total PoP ]]</f>
        <v>979</v>
      </c>
      <c r="BR16" s="404">
        <f>IF((WWWW[[#This Row],['#_litres_of_water_stored_in_ponds]]/90/15)/WWWW[[#This Row],[Total PoP ]]&gt;1,1,(WWWW[[#This Row],['#_litres_of_water_stored_in_ponds]]/90/15)/WWWW[[#This Row],[Total PoP ]])</f>
        <v>0</v>
      </c>
      <c r="BS16" s="401">
        <f>WWWW[[#This Row],[% Access to unimproved water points]]*WWWW[[#This Row],[Total PoP ]]</f>
        <v>0</v>
      </c>
      <c r="BT16" s="404">
        <f>IF(WWWW[[#This Row],[Access to safe/improved water through improved water sources]]+WWWW[[#This Row],[% Access to unimproved water points]]&gt;1,1,WWWW[[#This Row],[Access to safe/improved water through improved water sources]]+WWWW[[#This Row],[% Access to unimproved water points]])</f>
        <v>1</v>
      </c>
      <c r="BU16"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979</v>
      </c>
      <c r="BV16" s="401">
        <f>WWWW[[#This Row],[HRP1]]/500</f>
        <v>1.958</v>
      </c>
      <c r="BW16" s="406">
        <f>1-WWWW[[#This Row],[% HRP1]]</f>
        <v>0</v>
      </c>
      <c r="BX16" s="401">
        <f>WWWW[[#This Row],[%equitable and continuous access to sufficient quantity of safe drinking and domestic water''s GAP]]*WWWW[[#This Row],[Total PoP ]]</f>
        <v>0</v>
      </c>
      <c r="BY16" s="403">
        <f>ROUND(IF(WWWW[[#This Row],[Total PoP ]]&lt;500,1,WWWW[[#This Row],[Total PoP ]]/500),0)</f>
        <v>2</v>
      </c>
      <c r="BZ16" s="403">
        <f>IF(WWWW[[#This Row],[Total required water points]]-WWWW[[#This Row],['#Water points coverage]]&lt;0,0,WWWW[[#This Row],[Total required water points]]-WWWW[[#This Row],['#Water points coverage]])</f>
        <v>4.2000000000000037E-2</v>
      </c>
      <c r="CA16" s="404">
        <f>WWWW[[#This Row],[HRP2]]/WWWW[[#This Row],[Total PoP ]]</f>
        <v>1</v>
      </c>
      <c r="CB16"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979</v>
      </c>
      <c r="CC16" s="403">
        <f>IF(WWWW[[#This Row],['#_of_latrines_in_TLS/CFS]]*50&gt;WWWW[[#This Row],['#_students at TLS_CFS]],WWWW[[#This Row],['#_students at TLS_CFS]],WWWW[[#This Row],['#_of_latrines_in_TLS/CFS]]*50)</f>
        <v>244</v>
      </c>
      <c r="CD16" s="403">
        <f>ROUND(IF(WWWW[[#This Row],[Location Type 1]]="camp",WWWW[[#This Row],[Total PoP ]]/20),0)</f>
        <v>49</v>
      </c>
      <c r="CE16" s="403">
        <f>IF(WWWW[[#This Row],[Total required Latrines]]-WWWW[[#This Row],['#_Existing_latrines]]&lt;0,0,WWWW[[#This Row],[Total required Latrines]]-WWWW[[#This Row],['#_Existing_latrines]])</f>
        <v>0</v>
      </c>
      <c r="CF16" s="72">
        <f>1-WWWW[[#This Row],[% HRP2]]</f>
        <v>0</v>
      </c>
      <c r="CG16" s="405">
        <f>IF(WWWW[[#This Row],['#_Existing_latrines]]="","NA",(WWWW[[#This Row],['#_Existing_latrines]]-WWWW[[#This Row],['#_Functional_adult_latrines]])/WWWW[[#This Row],['#_Existing_latrines]])</f>
        <v>0</v>
      </c>
      <c r="CH16"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979</v>
      </c>
      <c r="CI16"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979</v>
      </c>
      <c r="CJ16" s="403">
        <f>WWWW[[#This Row],['#_of_affected_women_and_girls_receiving_a_sufficient_quantity_of_sanitary_pads]]</f>
        <v>360</v>
      </c>
      <c r="CK16" s="403">
        <f>IF(WWWW[[#This Row],['# People with access to soap]]&gt;WWWW[[#This Row],['# People with access to Sanity Pads]],WWWW[[#This Row],['# People with access to soap]],WWWW[[#This Row],['# People with access to Sanity Pads]])</f>
        <v>979</v>
      </c>
      <c r="CL16" s="403">
        <f>IF(WWWW[[#This Row],['# people reached by regular dedicated hygiene promotion_5]]&gt;WWWW[[#This Row],['# People received regular supply of hygiene items_6]],WWWW[[#This Row],['# people reached by regular dedicated hygiene promotion_5]],WWWW[[#This Row],['# People received regular supply of hygiene items_6]])</f>
        <v>979</v>
      </c>
      <c r="CM16" s="406">
        <f>IF(WWWW[[#This Row],[HRP3]]/WWWW[[#This Row],[Total PoP ]]&gt;100%,100%,WWWW[[#This Row],[HRP3]]/WWWW[[#This Row],[Total PoP ]])</f>
        <v>1</v>
      </c>
      <c r="CN16" s="405">
        <f>1-WWWW[[#This Row],[Hygiene Coverage%]]</f>
        <v>0</v>
      </c>
      <c r="CO16" s="404">
        <f>WWWW[[#This Row],['# people reached by regular dedicated hygiene promotion_5]]/WWWW[[#This Row],[Total PoP ]]</f>
        <v>1</v>
      </c>
      <c r="CP16" s="404">
        <f>IF(WWWW[[#This Row],['#_of_affected_households_receiving_a_sufficient_quantity_of_soap]]/WWWW[[#This Row],[Total HH]]&gt;1,1,WWWW[[#This Row],['#_of_affected_households_receiving_a_sufficient_quantity_of_soap]]/WWWW[[#This Row],[Total HH]])</f>
        <v>1</v>
      </c>
      <c r="CQ16" s="401" t="str">
        <f>IF(WWWW[[#This Row],['#_students at TLS_CFS]]="","No","Yes")</f>
        <v>Yes</v>
      </c>
      <c r="CR16" s="399" t="str">
        <f>VLOOKUP(WWWW[[#This Row],[Site Name]],SiteDB6[[Site Name]:[CCCM Management]],6,FALSE)</f>
        <v>Yes</v>
      </c>
      <c r="CS16" s="399">
        <f>VLOOKUP(WWWW[[#This Row],[Site Name]],SiteDB6[[Site Name]:[CCCM Focal Agency]],7,FALSE)</f>
        <v>0</v>
      </c>
      <c r="CT16" s="399" t="str">
        <f>VLOOKUP(WWWW[[#This Row],[Site Name]],SiteDB6[[Site Name]:[Location Type 1]],9,FALSE)</f>
        <v>Camp</v>
      </c>
      <c r="CU16" s="399" t="str">
        <f>VLOOKUP(WWWW[[#This Row],[Site Name]],SiteDB6[[Site Name]:[Type of Accommodation]],10,FALSE)</f>
        <v>Planned Camp</v>
      </c>
      <c r="CV16" s="399" t="str">
        <f>VLOOKUP(WWWW[[#This Row],[Site Name]],SiteDB6[[Site Name]:[Ethnic or GCA/NGCA]],11,FALSE)</f>
        <v>Muslim</v>
      </c>
      <c r="CW16" s="399">
        <f>VLOOKUP(WWWW[[#This Row],[Site Name]],SiteDB6[[Site Name]:[Lat]],12,FALSE)</f>
        <v>19.424576999999999</v>
      </c>
      <c r="CX16" s="399">
        <f>VLOOKUP(WWWW[[#This Row],[Site Name]],SiteDB6[[Site Name]:[Long]],13,FALSE)</f>
        <v>93.512326000000002</v>
      </c>
      <c r="CY16" s="399" t="str">
        <f>VLOOKUP(WWWW[[#This Row],[Site Name]],SiteDB6[[Site Name]:[Pcode]],3,FALSE)</f>
        <v>MMR012CMP035</v>
      </c>
      <c r="CZ16" s="407" t="str">
        <f t="shared" si="0"/>
        <v>Covered</v>
      </c>
      <c r="DA16" s="407">
        <f>VLOOKUP(WWWW[[#This Row],[Site Name]],SiteDB6[[Site Name]:[PWD_Total]],22,FALSE)</f>
        <v>0</v>
      </c>
      <c r="DB16" s="407">
        <f>VLOOKUP(WWWW[[#This Row],[Site Name]],SiteDB6[[Site Name]:[PWD_Total]],23,FALSE)</f>
        <v>0</v>
      </c>
      <c r="DC16" s="407">
        <f>VLOOKUP(WWWW[[#This Row],[Site Name]],SiteDB6[[Site Name]:[PWD_Total]],24,FALSE)</f>
        <v>0</v>
      </c>
      <c r="DD16" s="407"/>
      <c r="DE16" s="33"/>
      <c r="DF16" s="33"/>
      <c r="DG16"/>
      <c r="DI16" s="37"/>
      <c r="DJ16" s="37"/>
      <c r="DK16" s="38"/>
      <c r="DL16" s="38"/>
      <c r="DT16" s="20"/>
      <c r="DU16" s="20"/>
    </row>
    <row r="17" spans="1:125">
      <c r="A17" s="394" t="s">
        <v>2388</v>
      </c>
      <c r="B17" s="394" t="s">
        <v>270</v>
      </c>
      <c r="C17" s="400" t="s">
        <v>270</v>
      </c>
      <c r="D17" s="400" t="s">
        <v>235</v>
      </c>
      <c r="E17" s="535" t="s">
        <v>2707</v>
      </c>
      <c r="F17" s="400" t="s">
        <v>406</v>
      </c>
      <c r="G17" s="535" t="str">
        <f>VLOOKUP(WWWW[[#This Row],[Site Name]],SiteDB6[[Site Name]:[Location Type]],8,FALSE)</f>
        <v>Camp</v>
      </c>
      <c r="H17" s="400" t="s">
        <v>414</v>
      </c>
      <c r="I17" s="402">
        <v>1320</v>
      </c>
      <c r="J17" s="402">
        <v>6042</v>
      </c>
      <c r="K17" s="408">
        <v>43435</v>
      </c>
      <c r="L17" s="409">
        <v>43799</v>
      </c>
      <c r="M17" s="402">
        <v>1412</v>
      </c>
      <c r="N17" s="402"/>
      <c r="O17" s="402">
        <v>121</v>
      </c>
      <c r="P17" s="402" t="s">
        <v>2676</v>
      </c>
      <c r="Q17" s="401" t="s">
        <v>42</v>
      </c>
      <c r="R17" s="402"/>
      <c r="S17" s="402"/>
      <c r="T17" s="402">
        <v>3</v>
      </c>
      <c r="U17" s="402">
        <v>3</v>
      </c>
      <c r="V17" s="402">
        <v>693000</v>
      </c>
      <c r="W17" s="402">
        <v>22567549</v>
      </c>
      <c r="X17" s="402"/>
      <c r="Y17" s="402"/>
      <c r="Z17" s="402"/>
      <c r="AA17" s="402"/>
      <c r="AB17" s="402"/>
      <c r="AC17" s="402"/>
      <c r="AD17" s="402"/>
      <c r="AE17" s="637"/>
      <c r="AF17" s="402">
        <v>184</v>
      </c>
      <c r="AG17" s="402">
        <v>184</v>
      </c>
      <c r="AH17" s="402">
        <v>0</v>
      </c>
      <c r="AI17" s="404"/>
      <c r="AJ17" s="402"/>
      <c r="AK17" s="402"/>
      <c r="AL17" s="402"/>
      <c r="AM17" s="402"/>
      <c r="AN17" s="402"/>
      <c r="AO17" s="402">
        <v>0</v>
      </c>
      <c r="AP17" s="402"/>
      <c r="AQ17" s="402">
        <v>5</v>
      </c>
      <c r="AR17" s="402" t="s">
        <v>42</v>
      </c>
      <c r="AS17" s="650"/>
      <c r="AT17" s="402">
        <v>76</v>
      </c>
      <c r="AU17" s="402">
        <v>94</v>
      </c>
      <c r="AV17" s="402">
        <v>76</v>
      </c>
      <c r="AW17" s="402">
        <v>94</v>
      </c>
      <c r="AX17" s="402">
        <v>1327</v>
      </c>
      <c r="AY17" s="402">
        <v>3023</v>
      </c>
      <c r="AZ17" s="402"/>
      <c r="BA17" s="402"/>
      <c r="BB17" s="402"/>
      <c r="BC17" s="404"/>
      <c r="BD17" s="650"/>
      <c r="BE17" s="404"/>
      <c r="BF17" s="404"/>
      <c r="BG17" s="402"/>
      <c r="BH17" s="404"/>
      <c r="BI17" s="404">
        <v>0.14000000000000001</v>
      </c>
      <c r="BJ17" s="399"/>
      <c r="BK17" s="650"/>
      <c r="BL17" s="650"/>
      <c r="BM17" s="405" t="str">
        <f>IFERROR(WWWW[[#This Row],['#_Water samples _passed_at_water source]]/WWWW[[#This Row],['#_Water samples_Tested_at_water_source]],"no test")</f>
        <v>no test</v>
      </c>
      <c r="BN17" s="404" t="str">
        <f>IFERROR(WWWW[[#This Row],['#_Water samples _passed_at_HH]]/WWWW[[#This Row],['#_Water samples_Tested_at_HH]],"no test")</f>
        <v>no test</v>
      </c>
      <c r="BO17" s="403" t="str">
        <f>IF(AND(WWWW[[#This Row],[%of Water samples which passed at water source]]="no test",WWWW[[#This Row],[%Water samples which passed at HH]]="no test"),"No Test","Tested")</f>
        <v>No Test</v>
      </c>
      <c r="BP17"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0.33322299459340177</v>
      </c>
      <c r="BQ17" s="401">
        <f>WWWW[[#This Row],[Access to safe/improved water through improved water sources]]*WWWW[[#This Row],[Total PoP ]]</f>
        <v>2013.3333333333335</v>
      </c>
      <c r="BR17" s="404">
        <f>IF((WWWW[[#This Row],['#_litres_of_water_stored_in_ponds]]/90/15)/WWWW[[#This Row],[Total PoP ]]&gt;1,1,(WWWW[[#This Row],['#_litres_of_water_stored_in_ponds]]/90/15)/WWWW[[#This Row],[Total PoP ]])</f>
        <v>1</v>
      </c>
      <c r="BS17" s="401">
        <f>WWWW[[#This Row],[% Access to unimproved water points]]*WWWW[[#This Row],[Total PoP ]]</f>
        <v>6042</v>
      </c>
      <c r="BT17" s="404">
        <f>IF(WWWW[[#This Row],[Access to safe/improved water through improved water sources]]+WWWW[[#This Row],[% Access to unimproved water points]]&gt;1,1,WWWW[[#This Row],[Access to safe/improved water through improved water sources]]+WWWW[[#This Row],[% Access to unimproved water points]])</f>
        <v>1</v>
      </c>
      <c r="BU17"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6042</v>
      </c>
      <c r="BV17" s="401">
        <f>WWWW[[#This Row],[HRP1]]/500</f>
        <v>12.084</v>
      </c>
      <c r="BW17" s="406">
        <f>1-WWWW[[#This Row],[% HRP1]]</f>
        <v>0</v>
      </c>
      <c r="BX17" s="401">
        <f>WWWW[[#This Row],[%equitable and continuous access to sufficient quantity of safe drinking and domestic water''s GAP]]*WWWW[[#This Row],[Total PoP ]]</f>
        <v>0</v>
      </c>
      <c r="BY17" s="403">
        <f>ROUND(IF(WWWW[[#This Row],[Total PoP ]]&lt;500,1,WWWW[[#This Row],[Total PoP ]]/500),0)</f>
        <v>12</v>
      </c>
      <c r="BZ17" s="403">
        <f>IF(WWWW[[#This Row],[Total required water points]]-WWWW[[#This Row],['#Water points coverage]]&lt;0,0,WWWW[[#This Row],[Total required water points]]-WWWW[[#This Row],['#Water points coverage]])</f>
        <v>0</v>
      </c>
      <c r="CA17" s="404">
        <f>WWWW[[#This Row],[HRP2]]/WWWW[[#This Row],[Total PoP ]]</f>
        <v>0.6504468718967229</v>
      </c>
      <c r="CB17"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3930</v>
      </c>
      <c r="CC17" s="403">
        <f>IF(WWWW[[#This Row],['#_of_latrines_in_TLS/CFS]]*50&gt;WWWW[[#This Row],['#_students at TLS_CFS]],WWWW[[#This Row],['#_students at TLS_CFS]],WWWW[[#This Row],['#_of_latrines_in_TLS/CFS]]*50)</f>
        <v>250</v>
      </c>
      <c r="CD17" s="403">
        <f>ROUND(IF(WWWW[[#This Row],[Location Type 1]]="camp",WWWW[[#This Row],[Total PoP ]]/20),0)</f>
        <v>302</v>
      </c>
      <c r="CE17" s="403">
        <f>IF(WWWW[[#This Row],[Total required Latrines]]-WWWW[[#This Row],['#_Existing_latrines]]&lt;0,0,WWWW[[#This Row],[Total required Latrines]]-WWWW[[#This Row],['#_Existing_latrines]])</f>
        <v>118</v>
      </c>
      <c r="CF17" s="72">
        <f>1-WWWW[[#This Row],[% HRP2]]</f>
        <v>0.3495531281032771</v>
      </c>
      <c r="CG17" s="405">
        <f>IF(WWWW[[#This Row],['#_Existing_latrines]]="","NA",(WWWW[[#This Row],['#_Existing_latrines]]-WWWW[[#This Row],['#_Functional_adult_latrines]])/WWWW[[#This Row],['#_Existing_latrines]])</f>
        <v>0</v>
      </c>
      <c r="CH17"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340</v>
      </c>
      <c r="CI17"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6042</v>
      </c>
      <c r="CJ17" s="403">
        <f>WWWW[[#This Row],['#_of_affected_women_and_girls_receiving_a_sufficient_quantity_of_sanitary_pads]]</f>
        <v>3023</v>
      </c>
      <c r="CK17" s="403">
        <f>IF(WWWW[[#This Row],['# People with access to soap]]&gt;WWWW[[#This Row],['# People with access to Sanity Pads]],WWWW[[#This Row],['# People with access to soap]],WWWW[[#This Row],['# People with access to Sanity Pads]])</f>
        <v>6042</v>
      </c>
      <c r="CL17" s="403">
        <f>IF(WWWW[[#This Row],['# people reached by regular dedicated hygiene promotion_5]]&gt;WWWW[[#This Row],['# People received regular supply of hygiene items_6]],WWWW[[#This Row],['# people reached by regular dedicated hygiene promotion_5]],WWWW[[#This Row],['# People received regular supply of hygiene items_6]])</f>
        <v>6042</v>
      </c>
      <c r="CM17" s="406">
        <f>IF(WWWW[[#This Row],[HRP3]]/WWWW[[#This Row],[Total PoP ]]&gt;100%,100%,WWWW[[#This Row],[HRP3]]/WWWW[[#This Row],[Total PoP ]])</f>
        <v>1</v>
      </c>
      <c r="CN17" s="405">
        <f>1-WWWW[[#This Row],[Hygiene Coverage%]]</f>
        <v>0</v>
      </c>
      <c r="CO17" s="404">
        <f>WWWW[[#This Row],['# people reached by regular dedicated hygiene promotion_5]]/WWWW[[#This Row],[Total PoP ]]</f>
        <v>5.6272757365110893E-2</v>
      </c>
      <c r="CP17" s="404">
        <f>IF(WWWW[[#This Row],['#_of_affected_households_receiving_a_sufficient_quantity_of_soap]]/WWWW[[#This Row],[Total HH]]&gt;1,1,WWWW[[#This Row],['#_of_affected_households_receiving_a_sufficient_quantity_of_soap]]/WWWW[[#This Row],[Total HH]])</f>
        <v>1</v>
      </c>
      <c r="CQ17" s="401" t="str">
        <f>IF(WWWW[[#This Row],['#_students at TLS_CFS]]="","No","Yes")</f>
        <v>Yes</v>
      </c>
      <c r="CR17" s="399" t="str">
        <f>VLOOKUP(WWWW[[#This Row],[Site Name]],SiteDB6[[Site Name]:[CCCM Management]],6,FALSE)</f>
        <v>Yes</v>
      </c>
      <c r="CS17" s="399">
        <f>VLOOKUP(WWWW[[#This Row],[Site Name]],SiteDB6[[Site Name]:[CCCM Focal Agency]],7,FALSE)</f>
        <v>0</v>
      </c>
      <c r="CT17" s="399" t="str">
        <f>VLOOKUP(WWWW[[#This Row],[Site Name]],SiteDB6[[Site Name]:[Location Type 1]],9,FALSE)</f>
        <v>Camp</v>
      </c>
      <c r="CU17" s="399" t="str">
        <f>VLOOKUP(WWWW[[#This Row],[Site Name]],SiteDB6[[Site Name]:[Type of Accommodation]],10,FALSE)</f>
        <v>Planned Camp</v>
      </c>
      <c r="CV17" s="399" t="str">
        <f>VLOOKUP(WWWW[[#This Row],[Site Name]],SiteDB6[[Site Name]:[Ethnic or GCA/NGCA]],11,FALSE)</f>
        <v>Muslim</v>
      </c>
      <c r="CW17" s="399">
        <f>VLOOKUP(WWWW[[#This Row],[Site Name]],SiteDB6[[Site Name]:[Lat]],12,FALSE)</f>
        <v>20.090183</v>
      </c>
      <c r="CX17" s="399">
        <f>VLOOKUP(WWWW[[#This Row],[Site Name]],SiteDB6[[Site Name]:[Long]],13,FALSE)</f>
        <v>93.010368999999997</v>
      </c>
      <c r="CY17" s="399" t="str">
        <f>VLOOKUP(WWWW[[#This Row],[Site Name]],SiteDB6[[Site Name]:[Pcode]],3,FALSE)</f>
        <v>MMR012CMP018</v>
      </c>
      <c r="CZ17" s="407" t="str">
        <f t="shared" si="0"/>
        <v>Covered</v>
      </c>
      <c r="DA17" s="407">
        <f>VLOOKUP(WWWW[[#This Row],[Site Name]],SiteDB6[[Site Name]:[PWD_Total]],22,FALSE)</f>
        <v>116</v>
      </c>
      <c r="DB17" s="407">
        <f>VLOOKUP(WWWW[[#This Row],[Site Name]],SiteDB6[[Site Name]:[PWD_Total]],23,FALSE)</f>
        <v>1129</v>
      </c>
      <c r="DC17" s="407">
        <f>VLOOKUP(WWWW[[#This Row],[Site Name]],SiteDB6[[Site Name]:[PWD_Total]],24,FALSE)</f>
        <v>1245</v>
      </c>
      <c r="DD17" s="407"/>
      <c r="DE17" s="33"/>
      <c r="DF17" s="33"/>
      <c r="DG17"/>
      <c r="DI17" s="37"/>
      <c r="DJ17" s="37"/>
      <c r="DK17" s="38"/>
      <c r="DL17" s="38"/>
      <c r="DT17" s="20"/>
      <c r="DU17" s="20"/>
    </row>
    <row r="18" spans="1:125">
      <c r="A18" s="394" t="s">
        <v>2388</v>
      </c>
      <c r="B18" s="394" t="s">
        <v>2703</v>
      </c>
      <c r="C18" s="400" t="s">
        <v>2308</v>
      </c>
      <c r="D18" s="400" t="s">
        <v>41</v>
      </c>
      <c r="E18" s="535" t="s">
        <v>2707</v>
      </c>
      <c r="F18" s="400" t="s">
        <v>299</v>
      </c>
      <c r="G18" s="535" t="str">
        <f>VLOOKUP(WWWW[[#This Row],[Site Name]],SiteDB6[[Site Name]:[Location Type]],8,FALSE)</f>
        <v>Camp</v>
      </c>
      <c r="H18" s="400" t="s">
        <v>435</v>
      </c>
      <c r="I18" s="402">
        <v>656</v>
      </c>
      <c r="J18" s="402">
        <v>3486</v>
      </c>
      <c r="K18" s="408"/>
      <c r="L18" s="409">
        <v>44104</v>
      </c>
      <c r="M18" s="592">
        <v>1142</v>
      </c>
      <c r="N18" s="592">
        <v>49</v>
      </c>
      <c r="O18" s="592">
        <v>115</v>
      </c>
      <c r="P18" s="592">
        <v>0</v>
      </c>
      <c r="Q18" s="545" t="s">
        <v>130</v>
      </c>
      <c r="R18" s="592">
        <v>8</v>
      </c>
      <c r="S18" s="592">
        <v>7</v>
      </c>
      <c r="T18" s="592">
        <v>30</v>
      </c>
      <c r="U18" s="592">
        <v>36</v>
      </c>
      <c r="V18" s="402"/>
      <c r="W18" s="402"/>
      <c r="X18" s="592">
        <v>2</v>
      </c>
      <c r="Y18" s="592">
        <v>2</v>
      </c>
      <c r="Z18" s="592"/>
      <c r="AA18" s="592"/>
      <c r="AB18" s="402"/>
      <c r="AC18" s="402"/>
      <c r="AD18" s="402">
        <v>1</v>
      </c>
      <c r="AE18" s="637"/>
      <c r="AF18" s="592">
        <v>179</v>
      </c>
      <c r="AG18" s="592">
        <v>241</v>
      </c>
      <c r="AH18" s="592">
        <v>81</v>
      </c>
      <c r="AI18" s="537">
        <v>0.28999999999999998</v>
      </c>
      <c r="AJ18" s="592">
        <v>108</v>
      </c>
      <c r="AK18" s="537">
        <v>1</v>
      </c>
      <c r="AL18" s="537">
        <v>0.53</v>
      </c>
      <c r="AM18" s="537">
        <v>0.76</v>
      </c>
      <c r="AN18" s="537">
        <v>0.76</v>
      </c>
      <c r="AO18" s="402"/>
      <c r="AP18" s="402"/>
      <c r="AQ18" s="402">
        <v>2</v>
      </c>
      <c r="AR18" s="592" t="s">
        <v>42</v>
      </c>
      <c r="AS18" s="650"/>
      <c r="AT18" s="592">
        <v>358</v>
      </c>
      <c r="AU18" s="592">
        <v>1571</v>
      </c>
      <c r="AV18" s="592">
        <v>437</v>
      </c>
      <c r="AW18" s="592">
        <v>1138</v>
      </c>
      <c r="AX18" s="592">
        <v>656</v>
      </c>
      <c r="AY18" s="402"/>
      <c r="AZ18" s="402"/>
      <c r="BA18" s="402"/>
      <c r="BB18" s="402"/>
      <c r="BC18" s="404">
        <v>1</v>
      </c>
      <c r="BD18" s="650"/>
      <c r="BE18" s="404"/>
      <c r="BF18" s="404"/>
      <c r="BG18" s="402"/>
      <c r="BH18" s="404"/>
      <c r="BI18" s="402"/>
      <c r="BJ18" s="399"/>
      <c r="BK18" s="650"/>
      <c r="BL18" s="650"/>
      <c r="BM18" s="405">
        <f>IFERROR(WWWW[[#This Row],['#_Water samples _passed_at_water source]]/WWWW[[#This Row],['#_Water samples_Tested_at_water_source]],"no test")</f>
        <v>1</v>
      </c>
      <c r="BN18" s="404" t="str">
        <f>IFERROR(WWWW[[#This Row],['#_Water samples _passed_at_HH]]/WWWW[[#This Row],['#_Water samples_Tested_at_HH]],"no test")</f>
        <v>no test</v>
      </c>
      <c r="BO18" s="403" t="str">
        <f>IF(AND(WWWW[[#This Row],[%of Water samples which passed at water source]]="no test",WWWW[[#This Row],[%Water samples which passed at HH]]="no test"),"No Test","Tested")</f>
        <v>Tested</v>
      </c>
      <c r="BP18"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18" s="401">
        <f>WWWW[[#This Row],[Access to safe/improved water through improved water sources]]*WWWW[[#This Row],[Total PoP ]]</f>
        <v>3486</v>
      </c>
      <c r="BR18" s="404">
        <f>IF((WWWW[[#This Row],['#_litres_of_water_stored_in_ponds]]/90/15)/WWWW[[#This Row],[Total PoP ]]&gt;1,1,(WWWW[[#This Row],['#_litres_of_water_stored_in_ponds]]/90/15)/WWWW[[#This Row],[Total PoP ]])</f>
        <v>0</v>
      </c>
      <c r="BS18" s="401">
        <f>WWWW[[#This Row],[% Access to unimproved water points]]*WWWW[[#This Row],[Total PoP ]]</f>
        <v>0</v>
      </c>
      <c r="BT18" s="404">
        <f>IF(WWWW[[#This Row],[Access to safe/improved water through improved water sources]]+WWWW[[#This Row],[% Access to unimproved water points]]&gt;1,1,WWWW[[#This Row],[Access to safe/improved water through improved water sources]]+WWWW[[#This Row],[% Access to unimproved water points]])</f>
        <v>1</v>
      </c>
      <c r="BU18"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3486</v>
      </c>
      <c r="BV18" s="401">
        <f>WWWW[[#This Row],[HRP1]]/500</f>
        <v>6.9720000000000004</v>
      </c>
      <c r="BW18" s="406">
        <f>1-WWWW[[#This Row],[% HRP1]]</f>
        <v>0</v>
      </c>
      <c r="BX18" s="401">
        <f>WWWW[[#This Row],[%equitable and continuous access to sufficient quantity of safe drinking and domestic water''s GAP]]*WWWW[[#This Row],[Total PoP ]]</f>
        <v>0</v>
      </c>
      <c r="BY18" s="403">
        <f>ROUND(IF(WWWW[[#This Row],[Total PoP ]]&lt;500,1,WWWW[[#This Row],[Total PoP ]]/500),0)</f>
        <v>7</v>
      </c>
      <c r="BZ18" s="403">
        <f>IF(WWWW[[#This Row],[Total required water points]]-WWWW[[#This Row],['#Water points coverage]]&lt;0,0,WWWW[[#This Row],[Total required water points]]-WWWW[[#This Row],['#Water points coverage]])</f>
        <v>2.7999999999999581E-2</v>
      </c>
      <c r="CA18" s="404">
        <f>WWWW[[#This Row],[HRP2]]/WWWW[[#This Row],[Total PoP ]]</f>
        <v>1</v>
      </c>
      <c r="CB18"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3486</v>
      </c>
      <c r="CC18" s="403">
        <f>IF(WWWW[[#This Row],['#_of_latrines_in_TLS/CFS]]*50&gt;WWWW[[#This Row],['#_students at TLS_CFS]],WWWW[[#This Row],['#_students at TLS_CFS]],WWWW[[#This Row],['#_of_latrines_in_TLS/CFS]]*50)</f>
        <v>100</v>
      </c>
      <c r="CD18" s="403">
        <f>ROUND(IF(WWWW[[#This Row],[Location Type 1]]="camp",WWWW[[#This Row],[Total PoP ]]/20),0)</f>
        <v>174</v>
      </c>
      <c r="CE18" s="403">
        <f>IF(WWWW[[#This Row],[Total required Latrines]]-WWWW[[#This Row],['#_Existing_latrines]]&lt;0,0,WWWW[[#This Row],[Total required Latrines]]-WWWW[[#This Row],['#_Existing_latrines]])</f>
        <v>0</v>
      </c>
      <c r="CF18" s="72">
        <f>1-WWWW[[#This Row],[% HRP2]]</f>
        <v>0</v>
      </c>
      <c r="CG18" s="405">
        <f>IF(WWWW[[#This Row],['#_Existing_latrines]]="","NA",(WWWW[[#This Row],['#_Existing_latrines]]-WWWW[[#This Row],['#_Functional_adult_latrines]])/WWWW[[#This Row],['#_Existing_latrines]])</f>
        <v>0.25726141078838172</v>
      </c>
      <c r="CH18"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3486</v>
      </c>
      <c r="CI18"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3486</v>
      </c>
      <c r="CJ18" s="403">
        <f>WWWW[[#This Row],['#_of_affected_women_and_girls_receiving_a_sufficient_quantity_of_sanitary_pads]]</f>
        <v>0</v>
      </c>
      <c r="CK18" s="403">
        <f>IF(WWWW[[#This Row],['# People with access to soap]]&gt;WWWW[[#This Row],['# People with access to Sanity Pads]],WWWW[[#This Row],['# People with access to soap]],WWWW[[#This Row],['# People with access to Sanity Pads]])</f>
        <v>3486</v>
      </c>
      <c r="CL18" s="403">
        <f>IF(WWWW[[#This Row],['# people reached by regular dedicated hygiene promotion_5]]&gt;WWWW[[#This Row],['# People received regular supply of hygiene items_6]],WWWW[[#This Row],['# people reached by regular dedicated hygiene promotion_5]],WWWW[[#This Row],['# People received regular supply of hygiene items_6]])</f>
        <v>3486</v>
      </c>
      <c r="CM18" s="406">
        <f>IF(WWWW[[#This Row],[HRP3]]/WWWW[[#This Row],[Total PoP ]]&gt;100%,100%,WWWW[[#This Row],[HRP3]]/WWWW[[#This Row],[Total PoP ]])</f>
        <v>1</v>
      </c>
      <c r="CN18" s="405">
        <f>1-WWWW[[#This Row],[Hygiene Coverage%]]</f>
        <v>0</v>
      </c>
      <c r="CO18" s="404">
        <f>WWWW[[#This Row],['# people reached by regular dedicated hygiene promotion_5]]/WWWW[[#This Row],[Total PoP ]]</f>
        <v>1</v>
      </c>
      <c r="CP18" s="404">
        <f>IF(WWWW[[#This Row],['#_of_affected_households_receiving_a_sufficient_quantity_of_soap]]/WWWW[[#This Row],[Total HH]]&gt;1,1,WWWW[[#This Row],['#_of_affected_households_receiving_a_sufficient_quantity_of_soap]]/WWWW[[#This Row],[Total HH]])</f>
        <v>1</v>
      </c>
      <c r="CQ18" s="401" t="str">
        <f>IF(WWWW[[#This Row],['#_students at TLS_CFS]]="","No","Yes")</f>
        <v>Yes</v>
      </c>
      <c r="CR18" s="399" t="str">
        <f>VLOOKUP(WWWW[[#This Row],[Site Name]],SiteDB6[[Site Name]:[CCCM Management]],6,FALSE)</f>
        <v>Yes</v>
      </c>
      <c r="CS18" s="399">
        <f>VLOOKUP(WWWW[[#This Row],[Site Name]],SiteDB6[[Site Name]:[CCCM Focal Agency]],7,FALSE)</f>
        <v>0</v>
      </c>
      <c r="CT18" s="399" t="str">
        <f>VLOOKUP(WWWW[[#This Row],[Site Name]],SiteDB6[[Site Name]:[Location Type 1]],9,FALSE)</f>
        <v>Camp</v>
      </c>
      <c r="CU18" s="399" t="str">
        <f>VLOOKUP(WWWW[[#This Row],[Site Name]],SiteDB6[[Site Name]:[Type of Accommodation]],10,FALSE)</f>
        <v>Planned Camp</v>
      </c>
      <c r="CV18" s="399" t="str">
        <f>VLOOKUP(WWWW[[#This Row],[Site Name]],SiteDB6[[Site Name]:[Ethnic or GCA/NGCA]],11,FALSE)</f>
        <v>Muslim</v>
      </c>
      <c r="CW18" s="399">
        <f>VLOOKUP(WWWW[[#This Row],[Site Name]],SiteDB6[[Site Name]:[Lat]],12,FALSE)</f>
        <v>20.185917</v>
      </c>
      <c r="CX18" s="399">
        <f>VLOOKUP(WWWW[[#This Row],[Site Name]],SiteDB6[[Site Name]:[Long]],13,FALSE)</f>
        <v>92.831000000000003</v>
      </c>
      <c r="CY18" s="399" t="str">
        <f>VLOOKUP(WWWW[[#This Row],[Site Name]],SiteDB6[[Site Name]:[Pcode]],3,FALSE)</f>
        <v>MMR012CMP092</v>
      </c>
      <c r="CZ18" s="407" t="str">
        <f t="shared" si="0"/>
        <v>Covered</v>
      </c>
      <c r="DA18" s="407">
        <f>VLOOKUP(WWWW[[#This Row],[Site Name]],SiteDB6[[Site Name]:[PWD_Total]],22,FALSE)</f>
        <v>62</v>
      </c>
      <c r="DB18" s="407">
        <f>VLOOKUP(WWWW[[#This Row],[Site Name]],SiteDB6[[Site Name]:[PWD_Total]],23,FALSE)</f>
        <v>335</v>
      </c>
      <c r="DC18" s="407">
        <f>VLOOKUP(WWWW[[#This Row],[Site Name]],SiteDB6[[Site Name]:[PWD_Total]],24,FALSE)</f>
        <v>397</v>
      </c>
      <c r="DD18" s="407"/>
      <c r="DE18" s="33"/>
      <c r="DF18" s="33"/>
      <c r="DG18"/>
      <c r="DI18" s="37"/>
      <c r="DJ18" s="37"/>
      <c r="DK18" s="38"/>
      <c r="DL18" s="38"/>
      <c r="DT18" s="20"/>
      <c r="DU18" s="20"/>
    </row>
    <row r="19" spans="1:125">
      <c r="A19" s="394" t="s">
        <v>2388</v>
      </c>
      <c r="B19" s="394" t="s">
        <v>270</v>
      </c>
      <c r="C19" s="400" t="s">
        <v>270</v>
      </c>
      <c r="D19" s="400" t="s">
        <v>2294</v>
      </c>
      <c r="E19" s="535" t="s">
        <v>2707</v>
      </c>
      <c r="F19" s="400" t="s">
        <v>406</v>
      </c>
      <c r="G19" s="535" t="str">
        <f>VLOOKUP(WWWW[[#This Row],[Site Name]],SiteDB6[[Site Name]:[Location Type]],8,FALSE)</f>
        <v>Camp</v>
      </c>
      <c r="H19" s="451" t="s">
        <v>410</v>
      </c>
      <c r="I19" s="402">
        <v>1010</v>
      </c>
      <c r="J19" s="402">
        <v>4645</v>
      </c>
      <c r="K19" s="408" t="s">
        <v>2674</v>
      </c>
      <c r="L19" s="409" t="s">
        <v>2675</v>
      </c>
      <c r="M19" s="402">
        <v>968</v>
      </c>
      <c r="N19" s="402"/>
      <c r="O19" s="402"/>
      <c r="P19" s="402" t="s">
        <v>2676</v>
      </c>
      <c r="Q19" s="401" t="s">
        <v>42</v>
      </c>
      <c r="R19" s="402">
        <v>8</v>
      </c>
      <c r="S19" s="402">
        <v>3</v>
      </c>
      <c r="T19" s="402"/>
      <c r="U19" s="402"/>
      <c r="V19" s="402"/>
      <c r="W19" s="402">
        <v>8586779</v>
      </c>
      <c r="X19" s="402">
        <v>0</v>
      </c>
      <c r="Y19" s="402"/>
      <c r="Z19" s="402">
        <v>8</v>
      </c>
      <c r="AA19" s="402">
        <v>4</v>
      </c>
      <c r="AB19" s="402">
        <v>1010</v>
      </c>
      <c r="AC19" s="402"/>
      <c r="AD19" s="402"/>
      <c r="AE19" s="637"/>
      <c r="AF19" s="402">
        <v>86</v>
      </c>
      <c r="AG19" s="402">
        <v>89</v>
      </c>
      <c r="AH19" s="402">
        <v>3</v>
      </c>
      <c r="AI19" s="404"/>
      <c r="AJ19" s="402"/>
      <c r="AK19" s="402">
        <v>0.37</v>
      </c>
      <c r="AL19" s="402">
        <v>0.23</v>
      </c>
      <c r="AM19" s="402">
        <v>0.37</v>
      </c>
      <c r="AN19" s="402">
        <v>0.23</v>
      </c>
      <c r="AO19" s="402">
        <v>5</v>
      </c>
      <c r="AP19" s="402">
        <v>54</v>
      </c>
      <c r="AQ19" s="402">
        <v>4</v>
      </c>
      <c r="AR19" s="402" t="s">
        <v>42</v>
      </c>
      <c r="AS19" s="650"/>
      <c r="AT19" s="402">
        <v>80</v>
      </c>
      <c r="AU19" s="402">
        <v>80</v>
      </c>
      <c r="AV19" s="402">
        <v>80</v>
      </c>
      <c r="AW19" s="402">
        <v>80</v>
      </c>
      <c r="AX19" s="402">
        <v>1010</v>
      </c>
      <c r="AY19" s="402">
        <v>2354</v>
      </c>
      <c r="AZ19" s="402"/>
      <c r="BA19" s="402"/>
      <c r="BB19" s="402"/>
      <c r="BC19" s="404"/>
      <c r="BD19" s="650"/>
      <c r="BE19" s="404">
        <v>0.6</v>
      </c>
      <c r="BF19" s="404"/>
      <c r="BG19" s="402"/>
      <c r="BH19" s="404"/>
      <c r="BI19" s="404">
        <v>0.21</v>
      </c>
      <c r="BJ19" s="399"/>
      <c r="BK19" s="650"/>
      <c r="BL19" s="650"/>
      <c r="BM19" s="405" t="str">
        <f>IFERROR(WWWW[[#This Row],['#_Water samples _passed_at_water source]]/WWWW[[#This Row],['#_Water samples_Tested_at_water_source]],"no test")</f>
        <v>no test</v>
      </c>
      <c r="BN19" s="404">
        <f>IFERROR(WWWW[[#This Row],['#_Water samples _passed_at_HH]]/WWWW[[#This Row],['#_Water samples_Tested_at_HH]],"no test")</f>
        <v>0.5</v>
      </c>
      <c r="BO19" s="403" t="str">
        <f>IF(AND(WWWW[[#This Row],[%of Water samples which passed at water source]]="no test",WWWW[[#This Row],[%Water samples which passed at HH]]="no test"),"No Test","Tested")</f>
        <v>Tested</v>
      </c>
      <c r="BP19"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0</v>
      </c>
      <c r="BQ19" s="401">
        <f>WWWW[[#This Row],[Access to safe/improved water through improved water sources]]*WWWW[[#This Row],[Total PoP ]]</f>
        <v>0</v>
      </c>
      <c r="BR19" s="404">
        <f>IF((WWWW[[#This Row],['#_litres_of_water_stored_in_ponds]]/90/15)/WWWW[[#This Row],[Total PoP ]]&gt;1,1,(WWWW[[#This Row],['#_litres_of_water_stored_in_ponds]]/90/15)/WWWW[[#This Row],[Total PoP ]])</f>
        <v>1</v>
      </c>
      <c r="BS19" s="401">
        <f>WWWW[[#This Row],[% Access to unimproved water points]]*WWWW[[#This Row],[Total PoP ]]</f>
        <v>4645</v>
      </c>
      <c r="BT19" s="404">
        <f>IF(WWWW[[#This Row],[Access to safe/improved water through improved water sources]]+WWWW[[#This Row],[% Access to unimproved water points]]&gt;1,1,WWWW[[#This Row],[Access to safe/improved water through improved water sources]]+WWWW[[#This Row],[% Access to unimproved water points]])</f>
        <v>1</v>
      </c>
      <c r="BU19"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4645</v>
      </c>
      <c r="BV19" s="401">
        <f>WWWW[[#This Row],[HRP1]]/500</f>
        <v>9.2899999999999991</v>
      </c>
      <c r="BW19" s="406">
        <f>1-WWWW[[#This Row],[% HRP1]]</f>
        <v>0</v>
      </c>
      <c r="BX19" s="401">
        <f>WWWW[[#This Row],[%equitable and continuous access to sufficient quantity of safe drinking and domestic water''s GAP]]*WWWW[[#This Row],[Total PoP ]]</f>
        <v>0</v>
      </c>
      <c r="BY19" s="403">
        <f>ROUND(IF(WWWW[[#This Row],[Total PoP ]]&lt;500,1,WWWW[[#This Row],[Total PoP ]]/500),0)</f>
        <v>9</v>
      </c>
      <c r="BZ19" s="403">
        <f>IF(WWWW[[#This Row],[Total required water points]]-WWWW[[#This Row],['#Water points coverage]]&lt;0,0,WWWW[[#This Row],[Total required water points]]-WWWW[[#This Row],['#Water points coverage]])</f>
        <v>0</v>
      </c>
      <c r="CA19" s="404">
        <f>WWWW[[#This Row],[HRP2]]/WWWW[[#This Row],[Total PoP ]]</f>
        <v>0.44650161463939719</v>
      </c>
      <c r="CB19"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2074</v>
      </c>
      <c r="CC19" s="403">
        <f>IF(WWWW[[#This Row],['#_of_latrines_in_TLS/CFS]]*50&gt;WWWW[[#This Row],['#_students at TLS_CFS]],WWWW[[#This Row],['#_students at TLS_CFS]],WWWW[[#This Row],['#_of_latrines_in_TLS/CFS]]*50)</f>
        <v>200</v>
      </c>
      <c r="CD19" s="403">
        <f>ROUND(IF(WWWW[[#This Row],[Location Type 1]]="camp",WWWW[[#This Row],[Total PoP ]]/20),0)</f>
        <v>232</v>
      </c>
      <c r="CE19" s="403">
        <f>IF(WWWW[[#This Row],[Total required Latrines]]-WWWW[[#This Row],['#_Existing_latrines]]&lt;0,0,WWWW[[#This Row],[Total required Latrines]]-WWWW[[#This Row],['#_Existing_latrines]])</f>
        <v>143</v>
      </c>
      <c r="CF19" s="544">
        <f>1-WWWW[[#This Row],[% HRP2]]</f>
        <v>0.55349838536060281</v>
      </c>
      <c r="CG19" s="405">
        <f>IF(WWWW[[#This Row],['#_Existing_latrines]]="","NA",(WWWW[[#This Row],['#_Existing_latrines]]-WWWW[[#This Row],['#_Functional_adult_latrines]])/WWWW[[#This Row],['#_Existing_latrines]])</f>
        <v>3.3707865168539325E-2</v>
      </c>
      <c r="CH19"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320</v>
      </c>
      <c r="CI19"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4645</v>
      </c>
      <c r="CJ19" s="403">
        <f>WWWW[[#This Row],['#_of_affected_women_and_girls_receiving_a_sufficient_quantity_of_sanitary_pads]]</f>
        <v>2354</v>
      </c>
      <c r="CK19" s="403">
        <f>IF(WWWW[[#This Row],['# People with access to soap]]&gt;WWWW[[#This Row],['# People with access to Sanity Pads]],WWWW[[#This Row],['# People with access to soap]],WWWW[[#This Row],['# People with access to Sanity Pads]])</f>
        <v>4645</v>
      </c>
      <c r="CL19" s="403">
        <f>IF(WWWW[[#This Row],['# people reached by regular dedicated hygiene promotion_5]]&gt;WWWW[[#This Row],['# People received regular supply of hygiene items_6]],WWWW[[#This Row],['# people reached by regular dedicated hygiene promotion_5]],WWWW[[#This Row],['# People received regular supply of hygiene items_6]])</f>
        <v>4645</v>
      </c>
      <c r="CM19" s="406">
        <f>IF(WWWW[[#This Row],[HRP3]]/WWWW[[#This Row],[Total PoP ]]&gt;100%,100%,WWWW[[#This Row],[HRP3]]/WWWW[[#This Row],[Total PoP ]])</f>
        <v>1</v>
      </c>
      <c r="CN19" s="405">
        <f>1-WWWW[[#This Row],[Hygiene Coverage%]]</f>
        <v>0</v>
      </c>
      <c r="CO19" s="404">
        <f>WWWW[[#This Row],['# people reached by regular dedicated hygiene promotion_5]]/WWWW[[#This Row],[Total PoP ]]</f>
        <v>6.8891280947255107E-2</v>
      </c>
      <c r="CP19" s="404">
        <f>IF(WWWW[[#This Row],['#_of_affected_households_receiving_a_sufficient_quantity_of_soap]]/WWWW[[#This Row],[Total HH]]&gt;1,1,WWWW[[#This Row],['#_of_affected_households_receiving_a_sufficient_quantity_of_soap]]/WWWW[[#This Row],[Total HH]])</f>
        <v>1</v>
      </c>
      <c r="CQ19" s="401" t="str">
        <f>IF(WWWW[[#This Row],['#_students at TLS_CFS]]="","No","Yes")</f>
        <v>Yes</v>
      </c>
      <c r="CR19" s="399" t="str">
        <f>VLOOKUP(WWWW[[#This Row],[Site Name]],SiteDB6[[Site Name]:[CCCM Management]],6,FALSE)</f>
        <v>Yes</v>
      </c>
      <c r="CS19" s="399">
        <f>VLOOKUP(WWWW[[#This Row],[Site Name]],SiteDB6[[Site Name]:[CCCM Focal Agency]],7,FALSE)</f>
        <v>0</v>
      </c>
      <c r="CT19" s="399" t="str">
        <f>VLOOKUP(WWWW[[#This Row],[Site Name]],SiteDB6[[Site Name]:[Location Type 1]],9,FALSE)</f>
        <v>Camp</v>
      </c>
      <c r="CU19" s="399" t="str">
        <f>VLOOKUP(WWWW[[#This Row],[Site Name]],SiteDB6[[Site Name]:[Type of Accommodation]],10,FALSE)</f>
        <v>Individual House</v>
      </c>
      <c r="CV19" s="399" t="str">
        <f>VLOOKUP(WWWW[[#This Row],[Site Name]],SiteDB6[[Site Name]:[Ethnic or GCA/NGCA]],11,FALSE)</f>
        <v>Muslim</v>
      </c>
      <c r="CW19" s="399">
        <f>VLOOKUP(WWWW[[#This Row],[Site Name]],SiteDB6[[Site Name]:[Lat]],12,FALSE)</f>
        <v>20.073437999999999</v>
      </c>
      <c r="CX19" s="399">
        <f>VLOOKUP(WWWW[[#This Row],[Site Name]],SiteDB6[[Site Name]:[Long]],13,FALSE)</f>
        <v>93.154551999999995</v>
      </c>
      <c r="CY19" s="399" t="str">
        <f>VLOOKUP(WWWW[[#This Row],[Site Name]],SiteDB6[[Site Name]:[Pcode]],3,FALSE)</f>
        <v>MMR012CMP017</v>
      </c>
      <c r="CZ19" s="407" t="str">
        <f t="shared" si="0"/>
        <v>Covered</v>
      </c>
      <c r="DA19" s="407">
        <f>VLOOKUP(WWWW[[#This Row],[Site Name]],SiteDB6[[Site Name]:[PWD_Total]],22,FALSE)</f>
        <v>194</v>
      </c>
      <c r="DB19" s="407">
        <f>VLOOKUP(WWWW[[#This Row],[Site Name]],SiteDB6[[Site Name]:[PWD_Total]],23,FALSE)</f>
        <v>735</v>
      </c>
      <c r="DC19" s="407">
        <f>VLOOKUP(WWWW[[#This Row],[Site Name]],SiteDB6[[Site Name]:[PWD_Total]],24,FALSE)</f>
        <v>929</v>
      </c>
      <c r="DD19" s="407"/>
      <c r="DE19" s="33"/>
      <c r="DF19" s="33"/>
      <c r="DG19"/>
      <c r="DI19" s="37"/>
      <c r="DJ19" s="37"/>
      <c r="DK19" s="38"/>
      <c r="DL19" s="38"/>
      <c r="DT19" s="20"/>
      <c r="DU19" s="20"/>
    </row>
    <row r="20" spans="1:125">
      <c r="A20" s="394" t="s">
        <v>2388</v>
      </c>
      <c r="B20" s="394" t="s">
        <v>270</v>
      </c>
      <c r="C20" s="400" t="s">
        <v>270</v>
      </c>
      <c r="D20" s="400" t="s">
        <v>2294</v>
      </c>
      <c r="E20" s="535" t="s">
        <v>2707</v>
      </c>
      <c r="F20" s="400" t="s">
        <v>406</v>
      </c>
      <c r="G20" s="535" t="str">
        <f>VLOOKUP(WWWW[[#This Row],[Site Name]],SiteDB6[[Site Name]:[Location Type]],8,FALSE)</f>
        <v>Camp</v>
      </c>
      <c r="H20" s="400" t="s">
        <v>411</v>
      </c>
      <c r="I20" s="402">
        <v>905</v>
      </c>
      <c r="J20" s="402">
        <v>4104</v>
      </c>
      <c r="K20" s="408" t="s">
        <v>2674</v>
      </c>
      <c r="L20" s="409" t="s">
        <v>2675</v>
      </c>
      <c r="M20" s="402">
        <v>1261</v>
      </c>
      <c r="N20" s="402"/>
      <c r="O20" s="402"/>
      <c r="P20" s="402" t="s">
        <v>2676</v>
      </c>
      <c r="Q20" s="401" t="s">
        <v>42</v>
      </c>
      <c r="R20" s="402">
        <v>11</v>
      </c>
      <c r="S20" s="402">
        <v>2</v>
      </c>
      <c r="T20" s="402"/>
      <c r="U20" s="402">
        <v>5</v>
      </c>
      <c r="V20" s="402">
        <v>283500</v>
      </c>
      <c r="W20" s="402">
        <v>3385336</v>
      </c>
      <c r="X20" s="402">
        <v>4</v>
      </c>
      <c r="Y20" s="402">
        <v>4</v>
      </c>
      <c r="Z20" s="402">
        <v>4</v>
      </c>
      <c r="AA20" s="402"/>
      <c r="AB20" s="402"/>
      <c r="AC20" s="402"/>
      <c r="AD20" s="402"/>
      <c r="AE20" s="637"/>
      <c r="AF20" s="402">
        <v>120</v>
      </c>
      <c r="AG20" s="402">
        <v>125</v>
      </c>
      <c r="AH20" s="402">
        <v>5</v>
      </c>
      <c r="AI20" s="404"/>
      <c r="AJ20" s="402"/>
      <c r="AK20" s="402">
        <v>0.28000000000000003</v>
      </c>
      <c r="AL20" s="402">
        <v>0.69</v>
      </c>
      <c r="AM20" s="402">
        <v>0.28000000000000003</v>
      </c>
      <c r="AN20" s="402">
        <v>0.69</v>
      </c>
      <c r="AO20" s="402">
        <v>16</v>
      </c>
      <c r="AP20" s="402">
        <v>103</v>
      </c>
      <c r="AQ20" s="402">
        <v>4</v>
      </c>
      <c r="AR20" s="402" t="s">
        <v>42</v>
      </c>
      <c r="AS20" s="650"/>
      <c r="AT20" s="402">
        <v>7</v>
      </c>
      <c r="AU20" s="402">
        <v>23</v>
      </c>
      <c r="AV20" s="402">
        <v>7</v>
      </c>
      <c r="AW20" s="402">
        <v>23</v>
      </c>
      <c r="AX20" s="402">
        <v>905</v>
      </c>
      <c r="AY20" s="402">
        <v>2067</v>
      </c>
      <c r="AZ20" s="402"/>
      <c r="BA20" s="402"/>
      <c r="BB20" s="402"/>
      <c r="BC20" s="404"/>
      <c r="BD20" s="650"/>
      <c r="BE20" s="404">
        <v>0.97</v>
      </c>
      <c r="BF20" s="404"/>
      <c r="BG20" s="402"/>
      <c r="BH20" s="404"/>
      <c r="BI20" s="404"/>
      <c r="BJ20" s="399"/>
      <c r="BK20" s="650"/>
      <c r="BL20" s="650"/>
      <c r="BM20" s="405">
        <f>IFERROR(WWWW[[#This Row],['#_Water samples _passed_at_water source]]/WWWW[[#This Row],['#_Water samples_Tested_at_water_source]],"no test")</f>
        <v>1</v>
      </c>
      <c r="BN20" s="404">
        <f>IFERROR(WWWW[[#This Row],['#_Water samples _passed_at_HH]]/WWWW[[#This Row],['#_Water samples_Tested_at_HH]],"no test")</f>
        <v>0</v>
      </c>
      <c r="BO20" s="403" t="str">
        <f>IF(AND(WWWW[[#This Row],[%of Water samples which passed at water source]]="no test",WWWW[[#This Row],[%Water samples which passed at HH]]="no test"),"No Test","Tested")</f>
        <v>Tested</v>
      </c>
      <c r="BP20"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5.1169590643274851E-2</v>
      </c>
      <c r="BQ20" s="401">
        <f>WWWW[[#This Row],[Access to safe/improved water through improved water sources]]*WWWW[[#This Row],[Total PoP ]]</f>
        <v>210</v>
      </c>
      <c r="BR20" s="404">
        <f>IF((WWWW[[#This Row],['#_litres_of_water_stored_in_ponds]]/90/15)/WWWW[[#This Row],[Total PoP ]]&gt;1,1,(WWWW[[#This Row],['#_litres_of_water_stored_in_ponds]]/90/15)/WWWW[[#This Row],[Total PoP ]])</f>
        <v>0.61102736264529645</v>
      </c>
      <c r="BS20" s="401">
        <f>WWWW[[#This Row],[% Access to unimproved water points]]*WWWW[[#This Row],[Total PoP ]]</f>
        <v>2507.6562962962967</v>
      </c>
      <c r="BT20" s="404">
        <f>IF(WWWW[[#This Row],[Access to safe/improved water through improved water sources]]+WWWW[[#This Row],[% Access to unimproved water points]]&gt;1,1,WWWW[[#This Row],[Access to safe/improved water through improved water sources]]+WWWW[[#This Row],[% Access to unimproved water points]])</f>
        <v>0.66219695328857131</v>
      </c>
      <c r="BU20"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2717.6562962962967</v>
      </c>
      <c r="BV20" s="401">
        <f>WWWW[[#This Row],[HRP1]]/500</f>
        <v>5.4353125925925934</v>
      </c>
      <c r="BW20" s="406">
        <f>1-WWWW[[#This Row],[% HRP1]]</f>
        <v>0.33780304671142869</v>
      </c>
      <c r="BX20" s="401">
        <f>WWWW[[#This Row],[%equitable and continuous access to sufficient quantity of safe drinking and domestic water''s GAP]]*WWWW[[#This Row],[Total PoP ]]</f>
        <v>1386.3437037037033</v>
      </c>
      <c r="BY20" s="403">
        <f>ROUND(IF(WWWW[[#This Row],[Total PoP ]]&lt;500,1,WWWW[[#This Row],[Total PoP ]]/500),0)</f>
        <v>8</v>
      </c>
      <c r="BZ20" s="403">
        <f>IF(WWWW[[#This Row],[Total required water points]]-WWWW[[#This Row],['#Water points coverage]]&lt;0,0,WWWW[[#This Row],[Total required water points]]-WWWW[[#This Row],['#Water points coverage]])</f>
        <v>2.5646874074074066</v>
      </c>
      <c r="CA20" s="404">
        <f>WWWW[[#This Row],[HRP2]]/WWWW[[#This Row],[Total PoP ]]</f>
        <v>0.73659844054580892</v>
      </c>
      <c r="CB20"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3023</v>
      </c>
      <c r="CC20" s="403">
        <f>IF(WWWW[[#This Row],['#_of_latrines_in_TLS/CFS]]*50&gt;WWWW[[#This Row],['#_students at TLS_CFS]],WWWW[[#This Row],['#_students at TLS_CFS]],WWWW[[#This Row],['#_of_latrines_in_TLS/CFS]]*50)</f>
        <v>200</v>
      </c>
      <c r="CD20" s="403">
        <f>ROUND(IF(WWWW[[#This Row],[Location Type 1]]="camp",WWWW[[#This Row],[Total PoP ]]/20),0)</f>
        <v>205</v>
      </c>
      <c r="CE20" s="403">
        <f>IF(WWWW[[#This Row],[Total required Latrines]]-WWWW[[#This Row],['#_Existing_latrines]]&lt;0,0,WWWW[[#This Row],[Total required Latrines]]-WWWW[[#This Row],['#_Existing_latrines]])</f>
        <v>80</v>
      </c>
      <c r="CF20" s="72">
        <f>1-WWWW[[#This Row],[% HRP2]]</f>
        <v>0.26340155945419108</v>
      </c>
      <c r="CG20" s="405">
        <f>IF(WWWW[[#This Row],['#_Existing_latrines]]="","NA",(WWWW[[#This Row],['#_Existing_latrines]]-WWWW[[#This Row],['#_Functional_adult_latrines]])/WWWW[[#This Row],['#_Existing_latrines]])</f>
        <v>0.04</v>
      </c>
      <c r="CH20"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60</v>
      </c>
      <c r="CI20"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4104</v>
      </c>
      <c r="CJ20" s="403">
        <f>WWWW[[#This Row],['#_of_affected_women_and_girls_receiving_a_sufficient_quantity_of_sanitary_pads]]</f>
        <v>2067</v>
      </c>
      <c r="CK20" s="403">
        <f>IF(WWWW[[#This Row],['# People with access to soap]]&gt;WWWW[[#This Row],['# People with access to Sanity Pads]],WWWW[[#This Row],['# People with access to soap]],WWWW[[#This Row],['# People with access to Sanity Pads]])</f>
        <v>4104</v>
      </c>
      <c r="CL20" s="403">
        <f>IF(WWWW[[#This Row],['# people reached by regular dedicated hygiene promotion_5]]&gt;WWWW[[#This Row],['# People received regular supply of hygiene items_6]],WWWW[[#This Row],['# people reached by regular dedicated hygiene promotion_5]],WWWW[[#This Row],['# People received regular supply of hygiene items_6]])</f>
        <v>4104</v>
      </c>
      <c r="CM20" s="406">
        <f>IF(WWWW[[#This Row],[HRP3]]/WWWW[[#This Row],[Total PoP ]]&gt;100%,100%,WWWW[[#This Row],[HRP3]]/WWWW[[#This Row],[Total PoP ]])</f>
        <v>1</v>
      </c>
      <c r="CN20" s="405">
        <f>1-WWWW[[#This Row],[Hygiene Coverage%]]</f>
        <v>0</v>
      </c>
      <c r="CO20" s="404">
        <f>WWWW[[#This Row],['# people reached by regular dedicated hygiene promotion_5]]/WWWW[[#This Row],[Total PoP ]]</f>
        <v>1.4619883040935672E-2</v>
      </c>
      <c r="CP20" s="404">
        <f>IF(WWWW[[#This Row],['#_of_affected_households_receiving_a_sufficient_quantity_of_soap]]/WWWW[[#This Row],[Total HH]]&gt;1,1,WWWW[[#This Row],['#_of_affected_households_receiving_a_sufficient_quantity_of_soap]]/WWWW[[#This Row],[Total HH]])</f>
        <v>1</v>
      </c>
      <c r="CQ20" s="401" t="str">
        <f>IF(WWWW[[#This Row],['#_students at TLS_CFS]]="","No","Yes")</f>
        <v>Yes</v>
      </c>
      <c r="CR20" s="399" t="str">
        <f>VLOOKUP(WWWW[[#This Row],[Site Name]],SiteDB6[[Site Name]:[CCCM Management]],6,FALSE)</f>
        <v>Yes</v>
      </c>
      <c r="CS20" s="399">
        <f>VLOOKUP(WWWW[[#This Row],[Site Name]],SiteDB6[[Site Name]:[CCCM Focal Agency]],7,FALSE)</f>
        <v>0</v>
      </c>
      <c r="CT20" s="399" t="str">
        <f>VLOOKUP(WWWW[[#This Row],[Site Name]],SiteDB6[[Site Name]:[Location Type 1]],9,FALSE)</f>
        <v>Camp</v>
      </c>
      <c r="CU20" s="399" t="str">
        <f>VLOOKUP(WWWW[[#This Row],[Site Name]],SiteDB6[[Site Name]:[Type of Accommodation]],10,FALSE)</f>
        <v>Planned Camp</v>
      </c>
      <c r="CV20" s="399" t="str">
        <f>VLOOKUP(WWWW[[#This Row],[Site Name]],SiteDB6[[Site Name]:[Ethnic or GCA/NGCA]],11,FALSE)</f>
        <v>Muslim</v>
      </c>
      <c r="CW20" s="399">
        <f>VLOOKUP(WWWW[[#This Row],[Site Name]],SiteDB6[[Site Name]:[Lat]],12,FALSE)</f>
        <v>20.073437999999999</v>
      </c>
      <c r="CX20" s="399">
        <f>VLOOKUP(WWWW[[#This Row],[Site Name]],SiteDB6[[Site Name]:[Long]],13,FALSE)</f>
        <v>93.154551999999995</v>
      </c>
      <c r="CY20" s="399" t="str">
        <f>VLOOKUP(WWWW[[#This Row],[Site Name]],SiteDB6[[Site Name]:[Pcode]],3,FALSE)</f>
        <v>MMR012CMP017</v>
      </c>
      <c r="CZ20" s="407" t="str">
        <f t="shared" si="0"/>
        <v>Covered</v>
      </c>
      <c r="DA20" s="407">
        <f>VLOOKUP(WWWW[[#This Row],[Site Name]],SiteDB6[[Site Name]:[PWD_Total]],22,FALSE)</f>
        <v>112</v>
      </c>
      <c r="DB20" s="407">
        <f>VLOOKUP(WWWW[[#This Row],[Site Name]],SiteDB6[[Site Name]:[PWD_Total]],23,FALSE)</f>
        <v>643</v>
      </c>
      <c r="DC20" s="407">
        <f>VLOOKUP(WWWW[[#This Row],[Site Name]],SiteDB6[[Site Name]:[PWD_Total]],24,FALSE)</f>
        <v>755</v>
      </c>
      <c r="DD20" s="407"/>
      <c r="DE20" s="33"/>
      <c r="DF20" s="33"/>
      <c r="DG20"/>
      <c r="DI20" s="37"/>
      <c r="DJ20" s="37"/>
      <c r="DK20" s="38"/>
      <c r="DL20" s="38"/>
      <c r="DT20" s="20"/>
      <c r="DU20" s="20"/>
    </row>
    <row r="21" spans="1:125">
      <c r="A21" s="394" t="s">
        <v>2388</v>
      </c>
      <c r="B21" s="593" t="s">
        <v>297</v>
      </c>
      <c r="C21" s="593" t="s">
        <v>297</v>
      </c>
      <c r="D21" s="535" t="s">
        <v>2701</v>
      </c>
      <c r="E21" s="535" t="s">
        <v>2707</v>
      </c>
      <c r="F21" s="400" t="s">
        <v>306</v>
      </c>
      <c r="G21" s="576" t="str">
        <f>VLOOKUP(WWWW[[#This Row],[Site Name]],SiteDB6[[Site Name]:[Location Type]],8,FALSE)</f>
        <v>Camp</v>
      </c>
      <c r="H21" s="451" t="s">
        <v>2702</v>
      </c>
      <c r="I21" s="591">
        <v>91</v>
      </c>
      <c r="J21" s="591">
        <v>581</v>
      </c>
      <c r="K21" s="454"/>
      <c r="L21" s="543">
        <v>43554</v>
      </c>
      <c r="M21" s="592"/>
      <c r="N21" s="592"/>
      <c r="O21" s="592"/>
      <c r="P21" s="592"/>
      <c r="Q21" s="545"/>
      <c r="R21" s="592"/>
      <c r="S21" s="592"/>
      <c r="T21" s="592"/>
      <c r="U21" s="592"/>
      <c r="V21" s="592"/>
      <c r="W21" s="592"/>
      <c r="X21" s="592"/>
      <c r="Y21" s="592"/>
      <c r="Z21" s="592"/>
      <c r="AA21" s="592"/>
      <c r="AB21" s="592"/>
      <c r="AC21" s="592"/>
      <c r="AD21" s="592"/>
      <c r="AE21" s="638"/>
      <c r="AF21" s="592">
        <v>91</v>
      </c>
      <c r="AG21" s="592">
        <v>91</v>
      </c>
      <c r="AH21" s="592"/>
      <c r="AI21" s="537"/>
      <c r="AJ21" s="592"/>
      <c r="AK21" s="592"/>
      <c r="AL21" s="592"/>
      <c r="AM21" s="592"/>
      <c r="AN21" s="592"/>
      <c r="AO21" s="592"/>
      <c r="AP21" s="592"/>
      <c r="AQ21" s="592"/>
      <c r="AR21" s="592" t="s">
        <v>130</v>
      </c>
      <c r="AS21" s="651"/>
      <c r="AT21" s="592"/>
      <c r="AU21" s="592"/>
      <c r="AV21" s="592"/>
      <c r="AW21" s="592"/>
      <c r="AX21" s="592"/>
      <c r="AY21" s="592"/>
      <c r="AZ21" s="592"/>
      <c r="BA21" s="592"/>
      <c r="BB21" s="592"/>
      <c r="BC21" s="537"/>
      <c r="BD21" s="651"/>
      <c r="BE21" s="537"/>
      <c r="BF21" s="537"/>
      <c r="BG21" s="592"/>
      <c r="BH21" s="537"/>
      <c r="BI21" s="592"/>
      <c r="BJ21" s="540"/>
      <c r="BK21" s="651"/>
      <c r="BL21" s="651"/>
      <c r="BM21" s="405" t="str">
        <f>IFERROR(WWWW[[#This Row],['#_Water samples _passed_at_water source]]/WWWW[[#This Row],['#_Water samples_Tested_at_water_source]],"no test")</f>
        <v>no test</v>
      </c>
      <c r="BN21" s="404" t="str">
        <f>IFERROR(WWWW[[#This Row],['#_Water samples _passed_at_HH]]/WWWW[[#This Row],['#_Water samples_Tested_at_HH]],"no test")</f>
        <v>no test</v>
      </c>
      <c r="BO21" s="538" t="str">
        <f>IF(AND(WWWW[[#This Row],[%of Water samples which passed at water source]]="no test",WWWW[[#This Row],[%Water samples which passed at HH]]="no test"),"No Test","Tested")</f>
        <v>No Test</v>
      </c>
      <c r="BP21" s="539">
        <v>1</v>
      </c>
      <c r="BQ21" s="545">
        <v>581</v>
      </c>
      <c r="BR21" s="537">
        <f>IF((WWWW[[#This Row],['#_litres_of_water_stored_in_ponds]]/90/15)/WWWW[[#This Row],[Total PoP ]]&gt;1,1,(WWWW[[#This Row],['#_litres_of_water_stored_in_ponds]]/90/15)/WWWW[[#This Row],[Total PoP ]])</f>
        <v>0</v>
      </c>
      <c r="BS21" s="545">
        <f>WWWW[[#This Row],[% Access to unimproved water points]]*WWWW[[#This Row],[Total PoP ]]</f>
        <v>0</v>
      </c>
      <c r="BT21" s="537">
        <f>IF(WWWW[[#This Row],[Access to safe/improved water through improved water sources]]+WWWW[[#This Row],[% Access to unimproved water points]]&gt;1,1,WWWW[[#This Row],[Access to safe/improved water through improved water sources]]+WWWW[[#This Row],[% Access to unimproved water points]])</f>
        <v>1</v>
      </c>
      <c r="BU21" s="545">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581</v>
      </c>
      <c r="BV21" s="545">
        <f>WWWW[[#This Row],[HRP1]]/500</f>
        <v>1.1619999999999999</v>
      </c>
      <c r="BW21" s="536">
        <f>1-WWWW[[#This Row],[% HRP1]]</f>
        <v>0</v>
      </c>
      <c r="BX21" s="545">
        <f>WWWW[[#This Row],[%equitable and continuous access to sufficient quantity of safe drinking and domestic water''s GAP]]*WWWW[[#This Row],[Total PoP ]]</f>
        <v>0</v>
      </c>
      <c r="BY21" s="538">
        <f>ROUND(IF(WWWW[[#This Row],[Total PoP ]]&lt;500,1,WWWW[[#This Row],[Total PoP ]]/500),0)</f>
        <v>1</v>
      </c>
      <c r="BZ21" s="538">
        <f>IF(WWWW[[#This Row],[Total required water points]]-WWWW[[#This Row],['#Water points coverage]]&lt;0,0,WWWW[[#This Row],[Total required water points]]-WWWW[[#This Row],['#Water points coverage]])</f>
        <v>0</v>
      </c>
      <c r="CA21" s="537">
        <f>WWWW[[#This Row],[HRP2]]/WWWW[[#This Row],[Total PoP ]]</f>
        <v>1</v>
      </c>
      <c r="CB21" s="545">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581</v>
      </c>
      <c r="CC21" s="538">
        <f>IF(WWWW[[#This Row],['#_of_latrines_in_TLS/CFS]]*50&gt;WWWW[[#This Row],['#_students at TLS_CFS]],WWWW[[#This Row],['#_students at TLS_CFS]],WWWW[[#This Row],['#_of_latrines_in_TLS/CFS]]*50)</f>
        <v>0</v>
      </c>
      <c r="CD21" s="538">
        <f>ROUND(IF(WWWW[[#This Row],[Location Type 1]]="camp",WWWW[[#This Row],[Total PoP ]]/20),0)</f>
        <v>29</v>
      </c>
      <c r="CE21" s="538">
        <f>IF(WWWW[[#This Row],[Total required Latrines]]-WWWW[[#This Row],['#_Existing_latrines]]&lt;0,0,WWWW[[#This Row],[Total required Latrines]]-WWWW[[#This Row],['#_Existing_latrines]])</f>
        <v>0</v>
      </c>
      <c r="CF21" s="72">
        <f>1-WWWW[[#This Row],[% HRP2]]</f>
        <v>0</v>
      </c>
      <c r="CG21" s="539">
        <f>IF(WWWW[[#This Row],['#_Existing_latrines]]="","NA",(WWWW[[#This Row],['#_Existing_latrines]]-WWWW[[#This Row],['#_Functional_adult_latrines]])/WWWW[[#This Row],['#_Existing_latrines]])</f>
        <v>0</v>
      </c>
      <c r="CH21" s="545">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0</v>
      </c>
      <c r="CI21" s="538">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0</v>
      </c>
      <c r="CJ21" s="538">
        <f>WWWW[[#This Row],['#_of_affected_women_and_girls_receiving_a_sufficient_quantity_of_sanitary_pads]]</f>
        <v>0</v>
      </c>
      <c r="CK21" s="538">
        <f>IF(WWWW[[#This Row],['# People with access to soap]]&gt;WWWW[[#This Row],['# People with access to Sanity Pads]],WWWW[[#This Row],['# People with access to soap]],WWWW[[#This Row],['# People with access to Sanity Pads]])</f>
        <v>0</v>
      </c>
      <c r="CL21" s="538">
        <f>IF(WWWW[[#This Row],['# people reached by regular dedicated hygiene promotion_5]]&gt;WWWW[[#This Row],['# People received regular supply of hygiene items_6]],WWWW[[#This Row],['# people reached by regular dedicated hygiene promotion_5]],WWWW[[#This Row],['# People received regular supply of hygiene items_6]])</f>
        <v>0</v>
      </c>
      <c r="CM21" s="536">
        <f>IF(WWWW[[#This Row],[HRP3]]/WWWW[[#This Row],[Total PoP ]]&gt;100%,100%,WWWW[[#This Row],[HRP3]]/WWWW[[#This Row],[Total PoP ]])</f>
        <v>0</v>
      </c>
      <c r="CN21" s="539">
        <f>1-WWWW[[#This Row],[Hygiene Coverage%]]</f>
        <v>1</v>
      </c>
      <c r="CO21" s="537">
        <f>WWWW[[#This Row],['# people reached by regular dedicated hygiene promotion_5]]/WWWW[[#This Row],[Total PoP ]]</f>
        <v>0</v>
      </c>
      <c r="CP21" s="537">
        <f>IF(WWWW[[#This Row],['#_of_affected_households_receiving_a_sufficient_quantity_of_soap]]/WWWW[[#This Row],[Total HH]]&gt;1,1,WWWW[[#This Row],['#_of_affected_households_receiving_a_sufficient_quantity_of_soap]]/WWWW[[#This Row],[Total HH]])</f>
        <v>0</v>
      </c>
      <c r="CQ21" s="545" t="str">
        <f>IF(WWWW[[#This Row],['#_students at TLS_CFS]]="","No","Yes")</f>
        <v>No</v>
      </c>
      <c r="CR21" s="540" t="str">
        <f>VLOOKUP(WWWW[[#This Row],[Site Name]],SiteDB6[[Site Name]:[CCCM Management]],6,FALSE)</f>
        <v>Yes</v>
      </c>
      <c r="CS21" s="540">
        <f>VLOOKUP(WWWW[[#This Row],[Site Name]],SiteDB6[[Site Name]:[CCCM Focal Agency]],7,FALSE)</f>
        <v>0</v>
      </c>
      <c r="CT21" s="540" t="str">
        <f>VLOOKUP(WWWW[[#This Row],[Site Name]],SiteDB6[[Site Name]:[Location Type 1]],9,FALSE)</f>
        <v>Camp</v>
      </c>
      <c r="CU21" s="540" t="str">
        <f>VLOOKUP(WWWW[[#This Row],[Site Name]],SiteDB6[[Site Name]:[Type of Accommodation]],10,FALSE)</f>
        <v>Self Settled Camp</v>
      </c>
      <c r="CV21" s="540" t="str">
        <f>VLOOKUP(WWWW[[#This Row],[Site Name]],SiteDB6[[Site Name]:[Ethnic or GCA/NGCA]],11,FALSE)</f>
        <v>Muslim</v>
      </c>
      <c r="CW21" s="540">
        <f>VLOOKUP(WWWW[[#This Row],[Site Name]],SiteDB6[[Site Name]:[Lat]],12,FALSE)</f>
        <v>20.865687000000001</v>
      </c>
      <c r="CX21" s="540">
        <f>VLOOKUP(WWWW[[#This Row],[Site Name]],SiteDB6[[Site Name]:[Long]],13,FALSE)</f>
        <v>92.965980999999999</v>
      </c>
      <c r="CY21" s="540" t="str">
        <f>VLOOKUP(WWWW[[#This Row],[Site Name]],SiteDB6[[Site Name]:[Pcode]],3,FALSE)</f>
        <v>MMR012CMP023</v>
      </c>
      <c r="CZ21" s="567" t="str">
        <f t="shared" si="0"/>
        <v>Covered</v>
      </c>
      <c r="DA21" s="567">
        <f>VLOOKUP(WWWW[[#This Row],[Site Name]],SiteDB6[[Site Name]:[PWD_Total]],22,FALSE)</f>
        <v>0</v>
      </c>
      <c r="DB21" s="567">
        <f>VLOOKUP(WWWW[[#This Row],[Site Name]],SiteDB6[[Site Name]:[PWD_Total]],23,FALSE)</f>
        <v>0</v>
      </c>
      <c r="DC21" s="567">
        <f>VLOOKUP(WWWW[[#This Row],[Site Name]],SiteDB6[[Site Name]:[PWD_Total]],24,FALSE)</f>
        <v>0</v>
      </c>
      <c r="DD21" s="567"/>
      <c r="DE21" s="33"/>
      <c r="DF21" s="33"/>
      <c r="DG21"/>
      <c r="DI21" s="37"/>
      <c r="DJ21" s="37"/>
      <c r="DK21" s="38"/>
      <c r="DL21" s="38"/>
      <c r="DT21" s="20"/>
      <c r="DU21" s="20"/>
    </row>
    <row r="22" spans="1:125">
      <c r="A22" s="394" t="s">
        <v>2388</v>
      </c>
      <c r="B22" s="394" t="s">
        <v>2703</v>
      </c>
      <c r="C22" s="400" t="s">
        <v>2308</v>
      </c>
      <c r="D22" s="400" t="s">
        <v>41</v>
      </c>
      <c r="E22" s="535" t="s">
        <v>2707</v>
      </c>
      <c r="F22" s="400" t="s">
        <v>299</v>
      </c>
      <c r="G22" s="535" t="str">
        <f>VLOOKUP(WWWW[[#This Row],[Site Name]],SiteDB6[[Site Name]:[Location Type]],8,FALSE)</f>
        <v>Camp</v>
      </c>
      <c r="H22" s="400" t="s">
        <v>445</v>
      </c>
      <c r="I22" s="402">
        <v>673</v>
      </c>
      <c r="J22" s="402">
        <v>3095</v>
      </c>
      <c r="K22" s="408"/>
      <c r="L22" s="409">
        <v>44104</v>
      </c>
      <c r="M22" s="592">
        <v>681</v>
      </c>
      <c r="N22" s="592">
        <v>20</v>
      </c>
      <c r="O22" s="592">
        <v>35</v>
      </c>
      <c r="P22" s="592">
        <v>0</v>
      </c>
      <c r="Q22" s="545" t="s">
        <v>130</v>
      </c>
      <c r="R22" s="592">
        <v>7</v>
      </c>
      <c r="S22" s="592">
        <v>7</v>
      </c>
      <c r="T22" s="592">
        <v>54</v>
      </c>
      <c r="U22" s="592">
        <v>68</v>
      </c>
      <c r="V22" s="402"/>
      <c r="W22" s="402"/>
      <c r="X22" s="592">
        <v>111</v>
      </c>
      <c r="Y22" s="592">
        <v>98</v>
      </c>
      <c r="Z22" s="592">
        <v>150</v>
      </c>
      <c r="AA22" s="592">
        <v>77</v>
      </c>
      <c r="AB22" s="402"/>
      <c r="AC22" s="402"/>
      <c r="AD22" s="402">
        <v>3</v>
      </c>
      <c r="AE22" s="637"/>
      <c r="AF22" s="592">
        <v>170</v>
      </c>
      <c r="AG22" s="592">
        <v>175</v>
      </c>
      <c r="AH22" s="592">
        <v>16</v>
      </c>
      <c r="AI22" s="537">
        <v>0.03</v>
      </c>
      <c r="AJ22" s="592">
        <v>138</v>
      </c>
      <c r="AK22" s="537">
        <v>1</v>
      </c>
      <c r="AL22" s="537">
        <v>0.86</v>
      </c>
      <c r="AM22" s="537">
        <v>0.2</v>
      </c>
      <c r="AN22" s="537">
        <v>0.2</v>
      </c>
      <c r="AO22" s="402"/>
      <c r="AP22" s="402"/>
      <c r="AQ22" s="402">
        <v>0</v>
      </c>
      <c r="AR22" s="592" t="s">
        <v>42</v>
      </c>
      <c r="AS22" s="650"/>
      <c r="AT22" s="592">
        <v>742</v>
      </c>
      <c r="AU22" s="592">
        <v>1684</v>
      </c>
      <c r="AV22" s="592">
        <v>0</v>
      </c>
      <c r="AW22" s="592">
        <v>430</v>
      </c>
      <c r="AX22" s="592">
        <v>779</v>
      </c>
      <c r="AY22" s="402"/>
      <c r="AZ22" s="402"/>
      <c r="BA22" s="402"/>
      <c r="BB22" s="402"/>
      <c r="BC22" s="404">
        <v>0</v>
      </c>
      <c r="BD22" s="650"/>
      <c r="BE22" s="404"/>
      <c r="BF22" s="404"/>
      <c r="BG22" s="402"/>
      <c r="BH22" s="404"/>
      <c r="BI22" s="402"/>
      <c r="BJ22" s="399"/>
      <c r="BK22" s="650"/>
      <c r="BL22" s="650"/>
      <c r="BM22" s="405">
        <f>IFERROR(WWWW[[#This Row],['#_Water samples _passed_at_water source]]/WWWW[[#This Row],['#_Water samples_Tested_at_water_source]],"no test")</f>
        <v>0.88288288288288286</v>
      </c>
      <c r="BN22" s="404">
        <f>IFERROR(WWWW[[#This Row],['#_Water samples _passed_at_HH]]/WWWW[[#This Row],['#_Water samples_Tested_at_HH]],"no test")</f>
        <v>0.51333333333333331</v>
      </c>
      <c r="BO22" s="403" t="str">
        <f>IF(AND(WWWW[[#This Row],[%of Water samples which passed at water source]]="no test",WWWW[[#This Row],[%Water samples which passed at HH]]="no test"),"No Test","Tested")</f>
        <v>Tested</v>
      </c>
      <c r="BP22"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2" s="401">
        <f>WWWW[[#This Row],[Access to safe/improved water through improved water sources]]*WWWW[[#This Row],[Total PoP ]]</f>
        <v>3095</v>
      </c>
      <c r="BR22" s="404">
        <f>IF((WWWW[[#This Row],['#_litres_of_water_stored_in_ponds]]/90/15)/WWWW[[#This Row],[Total PoP ]]&gt;1,1,(WWWW[[#This Row],['#_litres_of_water_stored_in_ponds]]/90/15)/WWWW[[#This Row],[Total PoP ]])</f>
        <v>0</v>
      </c>
      <c r="BS22" s="401">
        <f>WWWW[[#This Row],[% Access to unimproved water points]]*WWWW[[#This Row],[Total PoP ]]</f>
        <v>0</v>
      </c>
      <c r="BT22" s="404">
        <f>IF(WWWW[[#This Row],[Access to safe/improved water through improved water sources]]+WWWW[[#This Row],[% Access to unimproved water points]]&gt;1,1,WWWW[[#This Row],[Access to safe/improved water through improved water sources]]+WWWW[[#This Row],[% Access to unimproved water points]])</f>
        <v>1</v>
      </c>
      <c r="BU22"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3095</v>
      </c>
      <c r="BV22" s="401">
        <f>WWWW[[#This Row],[HRP1]]/500</f>
        <v>6.19</v>
      </c>
      <c r="BW22" s="406">
        <f>1-WWWW[[#This Row],[% HRP1]]</f>
        <v>0</v>
      </c>
      <c r="BX22" s="401">
        <f>WWWW[[#This Row],[%equitable and continuous access to sufficient quantity of safe drinking and domestic water''s GAP]]*WWWW[[#This Row],[Total PoP ]]</f>
        <v>0</v>
      </c>
      <c r="BY22" s="403">
        <f>ROUND(IF(WWWW[[#This Row],[Total PoP ]]&lt;500,1,WWWW[[#This Row],[Total PoP ]]/500),0)</f>
        <v>6</v>
      </c>
      <c r="BZ22" s="403">
        <f>IF(WWWW[[#This Row],[Total required water points]]-WWWW[[#This Row],['#Water points coverage]]&lt;0,0,WWWW[[#This Row],[Total required water points]]-WWWW[[#This Row],['#Water points coverage]])</f>
        <v>0</v>
      </c>
      <c r="CA22" s="404">
        <f>WWWW[[#This Row],[HRP2]]/WWWW[[#This Row],[Total PoP ]]</f>
        <v>1</v>
      </c>
      <c r="CB22"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3095</v>
      </c>
      <c r="CC22" s="403">
        <f>IF(WWWW[[#This Row],['#_of_latrines_in_TLS/CFS]]*50&gt;WWWW[[#This Row],['#_students at TLS_CFS]],WWWW[[#This Row],['#_students at TLS_CFS]],WWWW[[#This Row],['#_of_latrines_in_TLS/CFS]]*50)</f>
        <v>0</v>
      </c>
      <c r="CD22" s="403">
        <f>ROUND(IF(WWWW[[#This Row],[Location Type 1]]="camp",WWWW[[#This Row],[Total PoP ]]/20),0)</f>
        <v>155</v>
      </c>
      <c r="CE22" s="403">
        <f>IF(WWWW[[#This Row],[Total required Latrines]]-WWWW[[#This Row],['#_Existing_latrines]]&lt;0,0,WWWW[[#This Row],[Total required Latrines]]-WWWW[[#This Row],['#_Existing_latrines]])</f>
        <v>0</v>
      </c>
      <c r="CF22" s="72">
        <f>1-WWWW[[#This Row],[% HRP2]]</f>
        <v>0</v>
      </c>
      <c r="CG22" s="405">
        <f>IF(WWWW[[#This Row],['#_Existing_latrines]]="","NA",(WWWW[[#This Row],['#_Existing_latrines]]-WWWW[[#This Row],['#_Functional_adult_latrines]])/WWWW[[#This Row],['#_Existing_latrines]])</f>
        <v>2.8571428571428571E-2</v>
      </c>
      <c r="CH22"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2856</v>
      </c>
      <c r="CI22"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3095</v>
      </c>
      <c r="CJ22" s="403">
        <f>WWWW[[#This Row],['#_of_affected_women_and_girls_receiving_a_sufficient_quantity_of_sanitary_pads]]</f>
        <v>0</v>
      </c>
      <c r="CK22" s="403">
        <f>IF(WWWW[[#This Row],['# People with access to soap]]&gt;WWWW[[#This Row],['# People with access to Sanity Pads]],WWWW[[#This Row],['# People with access to soap]],WWWW[[#This Row],['# People with access to Sanity Pads]])</f>
        <v>3095</v>
      </c>
      <c r="CL22" s="403">
        <f>IF(WWWW[[#This Row],['# people reached by regular dedicated hygiene promotion_5]]&gt;WWWW[[#This Row],['# People received regular supply of hygiene items_6]],WWWW[[#This Row],['# people reached by regular dedicated hygiene promotion_5]],WWWW[[#This Row],['# People received regular supply of hygiene items_6]])</f>
        <v>3095</v>
      </c>
      <c r="CM22" s="406">
        <f>IF(WWWW[[#This Row],[HRP3]]/WWWW[[#This Row],[Total PoP ]]&gt;100%,100%,WWWW[[#This Row],[HRP3]]/WWWW[[#This Row],[Total PoP ]])</f>
        <v>1</v>
      </c>
      <c r="CN22" s="405">
        <f>1-WWWW[[#This Row],[Hygiene Coverage%]]</f>
        <v>0</v>
      </c>
      <c r="CO22" s="404">
        <f>WWWW[[#This Row],['# people reached by regular dedicated hygiene promotion_5]]/WWWW[[#This Row],[Total PoP ]]</f>
        <v>0.92277867528271407</v>
      </c>
      <c r="CP22" s="404">
        <f>IF(WWWW[[#This Row],['#_of_affected_households_receiving_a_sufficient_quantity_of_soap]]/WWWW[[#This Row],[Total HH]]&gt;1,1,WWWW[[#This Row],['#_of_affected_households_receiving_a_sufficient_quantity_of_soap]]/WWWW[[#This Row],[Total HH]])</f>
        <v>1</v>
      </c>
      <c r="CQ22" s="401" t="str">
        <f>IF(WWWW[[#This Row],['#_students at TLS_CFS]]="","No","Yes")</f>
        <v>Yes</v>
      </c>
      <c r="CR22" s="399" t="str">
        <f>VLOOKUP(WWWW[[#This Row],[Site Name]],SiteDB6[[Site Name]:[CCCM Management]],6,FALSE)</f>
        <v>Yes</v>
      </c>
      <c r="CS22" s="399">
        <f>VLOOKUP(WWWW[[#This Row],[Site Name]],SiteDB6[[Site Name]:[CCCM Focal Agency]],7,FALSE)</f>
        <v>0</v>
      </c>
      <c r="CT22" s="399" t="str">
        <f>VLOOKUP(WWWW[[#This Row],[Site Name]],SiteDB6[[Site Name]:[Location Type 1]],9,FALSE)</f>
        <v>Camp</v>
      </c>
      <c r="CU22" s="399" t="str">
        <f>VLOOKUP(WWWW[[#This Row],[Site Name]],SiteDB6[[Site Name]:[Type of Accommodation]],10,FALSE)</f>
        <v>Planned Camp</v>
      </c>
      <c r="CV22" s="399" t="str">
        <f>VLOOKUP(WWWW[[#This Row],[Site Name]],SiteDB6[[Site Name]:[Ethnic or GCA/NGCA]],11,FALSE)</f>
        <v>Muslim</v>
      </c>
      <c r="CW22" s="399">
        <f>VLOOKUP(WWWW[[#This Row],[Site Name]],SiteDB6[[Site Name]:[Lat]],12,FALSE)</f>
        <v>20.206778</v>
      </c>
      <c r="CX22" s="399">
        <f>VLOOKUP(WWWW[[#This Row],[Site Name]],SiteDB6[[Site Name]:[Long]],13,FALSE)</f>
        <v>92.774193999999994</v>
      </c>
      <c r="CY22" s="399" t="str">
        <f>VLOOKUP(WWWW[[#This Row],[Site Name]],SiteDB6[[Site Name]:[Pcode]],3,FALSE)</f>
        <v>MMR012CMP098</v>
      </c>
      <c r="CZ22" s="407" t="str">
        <f t="shared" si="0"/>
        <v>Covered</v>
      </c>
      <c r="DA22" s="407">
        <f>VLOOKUP(WWWW[[#This Row],[Site Name]],SiteDB6[[Site Name]:[PWD_Total]],22,FALSE)</f>
        <v>12</v>
      </c>
      <c r="DB22" s="407">
        <f>VLOOKUP(WWWW[[#This Row],[Site Name]],SiteDB6[[Site Name]:[PWD_Total]],23,FALSE)</f>
        <v>359</v>
      </c>
      <c r="DC22" s="407">
        <f>VLOOKUP(WWWW[[#This Row],[Site Name]],SiteDB6[[Site Name]:[PWD_Total]],24,FALSE)</f>
        <v>371</v>
      </c>
      <c r="DD22" s="407"/>
      <c r="DE22" s="33"/>
      <c r="DF22" s="33"/>
      <c r="DG22"/>
      <c r="DI22" s="37"/>
      <c r="DJ22" s="37"/>
      <c r="DK22" s="38"/>
      <c r="DL22" s="38"/>
      <c r="DT22" s="20"/>
      <c r="DU22" s="20"/>
    </row>
    <row r="23" spans="1:125">
      <c r="A23" s="394" t="s">
        <v>2388</v>
      </c>
      <c r="B23" s="394" t="s">
        <v>2703</v>
      </c>
      <c r="C23" s="400" t="s">
        <v>2308</v>
      </c>
      <c r="D23" s="400" t="s">
        <v>41</v>
      </c>
      <c r="E23" s="535" t="s">
        <v>2707</v>
      </c>
      <c r="F23" s="400" t="s">
        <v>299</v>
      </c>
      <c r="G23" s="535" t="str">
        <f>VLOOKUP(WWWW[[#This Row],[Site Name]],SiteDB6[[Site Name]:[Location Type]],8,FALSE)</f>
        <v>Camp</v>
      </c>
      <c r="H23" s="400" t="s">
        <v>436</v>
      </c>
      <c r="I23" s="402">
        <v>2428</v>
      </c>
      <c r="J23" s="402">
        <v>13302</v>
      </c>
      <c r="K23" s="408"/>
      <c r="L23" s="409">
        <v>44104</v>
      </c>
      <c r="M23" s="592">
        <v>500</v>
      </c>
      <c r="N23" s="592">
        <v>100</v>
      </c>
      <c r="O23" s="592">
        <v>230</v>
      </c>
      <c r="P23" s="592">
        <v>0</v>
      </c>
      <c r="Q23" s="545" t="s">
        <v>130</v>
      </c>
      <c r="R23" s="592">
        <v>26</v>
      </c>
      <c r="S23" s="592">
        <v>37</v>
      </c>
      <c r="T23" s="592">
        <v>120</v>
      </c>
      <c r="U23" s="592">
        <v>146</v>
      </c>
      <c r="V23" s="402"/>
      <c r="W23" s="402"/>
      <c r="X23" s="592">
        <v>177</v>
      </c>
      <c r="Y23" s="592">
        <v>161</v>
      </c>
      <c r="Z23" s="592">
        <v>242</v>
      </c>
      <c r="AA23" s="592">
        <v>151</v>
      </c>
      <c r="AB23" s="402"/>
      <c r="AC23" s="402"/>
      <c r="AD23" s="402"/>
      <c r="AE23" s="637"/>
      <c r="AF23" s="592">
        <v>436</v>
      </c>
      <c r="AG23" s="592">
        <v>778</v>
      </c>
      <c r="AH23" s="592">
        <v>50</v>
      </c>
      <c r="AI23" s="537">
        <v>0.12</v>
      </c>
      <c r="AJ23" s="592">
        <v>485</v>
      </c>
      <c r="AK23" s="537">
        <v>0.91</v>
      </c>
      <c r="AL23" s="537">
        <v>0.03</v>
      </c>
      <c r="AM23" s="537">
        <v>0.06</v>
      </c>
      <c r="AN23" s="537">
        <v>0.06</v>
      </c>
      <c r="AO23" s="402"/>
      <c r="AP23" s="402"/>
      <c r="AQ23" s="402">
        <v>3</v>
      </c>
      <c r="AR23" s="592" t="s">
        <v>42</v>
      </c>
      <c r="AS23" s="650"/>
      <c r="AT23" s="592">
        <v>886</v>
      </c>
      <c r="AU23" s="592">
        <v>8330</v>
      </c>
      <c r="AV23" s="592">
        <v>1096</v>
      </c>
      <c r="AW23" s="592">
        <v>2441</v>
      </c>
      <c r="AX23" s="592">
        <v>2728</v>
      </c>
      <c r="AY23" s="402"/>
      <c r="AZ23" s="402"/>
      <c r="BA23" s="402"/>
      <c r="BB23" s="402"/>
      <c r="BC23" s="404">
        <v>1</v>
      </c>
      <c r="BD23" s="650"/>
      <c r="BE23" s="404"/>
      <c r="BF23" s="404"/>
      <c r="BG23" s="402"/>
      <c r="BH23" s="404"/>
      <c r="BI23" s="402"/>
      <c r="BJ23" s="399"/>
      <c r="BK23" s="650"/>
      <c r="BL23" s="650"/>
      <c r="BM23" s="405">
        <f>IFERROR(WWWW[[#This Row],['#_Water samples _passed_at_water source]]/WWWW[[#This Row],['#_Water samples_Tested_at_water_source]],"no test")</f>
        <v>0.90960451977401124</v>
      </c>
      <c r="BN23" s="404">
        <f>IFERROR(WWWW[[#This Row],['#_Water samples _passed_at_HH]]/WWWW[[#This Row],['#_Water samples_Tested_at_HH]],"no test")</f>
        <v>0.62396694214876036</v>
      </c>
      <c r="BO23" s="403" t="str">
        <f>IF(AND(WWWW[[#This Row],[%of Water samples which passed at water source]]="no test",WWWW[[#This Row],[%Water samples which passed at HH]]="no test"),"No Test","Tested")</f>
        <v>Tested</v>
      </c>
      <c r="BP23"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3" s="401">
        <f>WWWW[[#This Row],[Access to safe/improved water through improved water sources]]*WWWW[[#This Row],[Total PoP ]]</f>
        <v>13302</v>
      </c>
      <c r="BR23" s="404">
        <f>IF((WWWW[[#This Row],['#_litres_of_water_stored_in_ponds]]/90/15)/WWWW[[#This Row],[Total PoP ]]&gt;1,1,(WWWW[[#This Row],['#_litres_of_water_stored_in_ponds]]/90/15)/WWWW[[#This Row],[Total PoP ]])</f>
        <v>0</v>
      </c>
      <c r="BS23" s="401">
        <f>WWWW[[#This Row],[% Access to unimproved water points]]*WWWW[[#This Row],[Total PoP ]]</f>
        <v>0</v>
      </c>
      <c r="BT23" s="404">
        <f>IF(WWWW[[#This Row],[Access to safe/improved water through improved water sources]]+WWWW[[#This Row],[% Access to unimproved water points]]&gt;1,1,WWWW[[#This Row],[Access to safe/improved water through improved water sources]]+WWWW[[#This Row],[% Access to unimproved water points]])</f>
        <v>1</v>
      </c>
      <c r="BU23"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13302</v>
      </c>
      <c r="BV23" s="401">
        <f>WWWW[[#This Row],[HRP1]]/500</f>
        <v>26.603999999999999</v>
      </c>
      <c r="BW23" s="406">
        <f>1-WWWW[[#This Row],[% HRP1]]</f>
        <v>0</v>
      </c>
      <c r="BX23" s="401">
        <f>WWWW[[#This Row],[%equitable and continuous access to sufficient quantity of safe drinking and domestic water''s GAP]]*WWWW[[#This Row],[Total PoP ]]</f>
        <v>0</v>
      </c>
      <c r="BY23" s="403">
        <f>ROUND(IF(WWWW[[#This Row],[Total PoP ]]&lt;500,1,WWWW[[#This Row],[Total PoP ]]/500),0)</f>
        <v>27</v>
      </c>
      <c r="BZ23" s="403">
        <f>IF(WWWW[[#This Row],[Total required water points]]-WWWW[[#This Row],['#Water points coverage]]&lt;0,0,WWWW[[#This Row],[Total required water points]]-WWWW[[#This Row],['#Water points coverage]])</f>
        <v>0.3960000000000008</v>
      </c>
      <c r="CA23" s="404">
        <f>WWWW[[#This Row],[HRP2]]/WWWW[[#This Row],[Total PoP ]]</f>
        <v>0.66681701999699294</v>
      </c>
      <c r="CB23"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8870</v>
      </c>
      <c r="CC23" s="403">
        <f>IF(WWWW[[#This Row],['#_of_latrines_in_TLS/CFS]]*50&gt;WWWW[[#This Row],['#_students at TLS_CFS]],WWWW[[#This Row],['#_students at TLS_CFS]],WWWW[[#This Row],['#_of_latrines_in_TLS/CFS]]*50)</f>
        <v>150</v>
      </c>
      <c r="CD23" s="403">
        <f>ROUND(IF(WWWW[[#This Row],[Location Type 1]]="camp",WWWW[[#This Row],[Total PoP ]]/20),0)</f>
        <v>665</v>
      </c>
      <c r="CE23" s="403">
        <f>IF(WWWW[[#This Row],[Total required Latrines]]-WWWW[[#This Row],['#_Existing_latrines]]&lt;0,0,WWWW[[#This Row],[Total required Latrines]]-WWWW[[#This Row],['#_Existing_latrines]])</f>
        <v>0</v>
      </c>
      <c r="CF23" s="72">
        <f>1-WWWW[[#This Row],[% HRP2]]</f>
        <v>0.33318298000300706</v>
      </c>
      <c r="CG23" s="405">
        <f>IF(WWWW[[#This Row],['#_Existing_latrines]]="","NA",(WWWW[[#This Row],['#_Existing_latrines]]-WWWW[[#This Row],['#_Functional_adult_latrines]])/WWWW[[#This Row],['#_Existing_latrines]])</f>
        <v>0.43958868894601544</v>
      </c>
      <c r="CH23"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12753</v>
      </c>
      <c r="CI23"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13302</v>
      </c>
      <c r="CJ23" s="403">
        <f>WWWW[[#This Row],['#_of_affected_women_and_girls_receiving_a_sufficient_quantity_of_sanitary_pads]]</f>
        <v>0</v>
      </c>
      <c r="CK23" s="403">
        <f>IF(WWWW[[#This Row],['# People with access to soap]]&gt;WWWW[[#This Row],['# People with access to Sanity Pads]],WWWW[[#This Row],['# People with access to soap]],WWWW[[#This Row],['# People with access to Sanity Pads]])</f>
        <v>13302</v>
      </c>
      <c r="CL23" s="403">
        <f>IF(WWWW[[#This Row],['# people reached by regular dedicated hygiene promotion_5]]&gt;WWWW[[#This Row],['# People received regular supply of hygiene items_6]],WWWW[[#This Row],['# people reached by regular dedicated hygiene promotion_5]],WWWW[[#This Row],['# People received regular supply of hygiene items_6]])</f>
        <v>13302</v>
      </c>
      <c r="CM23" s="406">
        <f>IF(WWWW[[#This Row],[HRP3]]/WWWW[[#This Row],[Total PoP ]]&gt;100%,100%,WWWW[[#This Row],[HRP3]]/WWWW[[#This Row],[Total PoP ]])</f>
        <v>1</v>
      </c>
      <c r="CN23" s="405">
        <f>1-WWWW[[#This Row],[Hygiene Coverage%]]</f>
        <v>0</v>
      </c>
      <c r="CO23" s="404">
        <f>WWWW[[#This Row],['# people reached by regular dedicated hygiene promotion_5]]/WWWW[[#This Row],[Total PoP ]]</f>
        <v>0.95872801082543979</v>
      </c>
      <c r="CP23" s="404">
        <f>IF(WWWW[[#This Row],['#_of_affected_households_receiving_a_sufficient_quantity_of_soap]]/WWWW[[#This Row],[Total HH]]&gt;1,1,WWWW[[#This Row],['#_of_affected_households_receiving_a_sufficient_quantity_of_soap]]/WWWW[[#This Row],[Total HH]])</f>
        <v>1</v>
      </c>
      <c r="CQ23" s="401" t="str">
        <f>IF(WWWW[[#This Row],['#_students at TLS_CFS]]="","No","Yes")</f>
        <v>Yes</v>
      </c>
      <c r="CR23" s="399" t="str">
        <f>VLOOKUP(WWWW[[#This Row],[Site Name]],SiteDB6[[Site Name]:[CCCM Management]],6,FALSE)</f>
        <v>Yes</v>
      </c>
      <c r="CS23" s="399">
        <f>VLOOKUP(WWWW[[#This Row],[Site Name]],SiteDB6[[Site Name]:[CCCM Focal Agency]],7,FALSE)</f>
        <v>0</v>
      </c>
      <c r="CT23" s="399" t="str">
        <f>VLOOKUP(WWWW[[#This Row],[Site Name]],SiteDB6[[Site Name]:[Location Type 1]],9,FALSE)</f>
        <v>Camp</v>
      </c>
      <c r="CU23" s="399" t="str">
        <f>VLOOKUP(WWWW[[#This Row],[Site Name]],SiteDB6[[Site Name]:[Type of Accommodation]],10,FALSE)</f>
        <v>Planned Camp</v>
      </c>
      <c r="CV23" s="399" t="str">
        <f>VLOOKUP(WWWW[[#This Row],[Site Name]],SiteDB6[[Site Name]:[Ethnic or GCA/NGCA]],11,FALSE)</f>
        <v>Muslim</v>
      </c>
      <c r="CW23" s="399">
        <f>VLOOKUP(WWWW[[#This Row],[Site Name]],SiteDB6[[Site Name]:[Lat]],12,FALSE)</f>
        <v>20.18994</v>
      </c>
      <c r="CX23" s="399">
        <f>VLOOKUP(WWWW[[#This Row],[Site Name]],SiteDB6[[Site Name]:[Long]],13,FALSE)</f>
        <v>92.798880999999994</v>
      </c>
      <c r="CY23" s="399" t="str">
        <f>VLOOKUP(WWWW[[#This Row],[Site Name]],SiteDB6[[Site Name]:[Pcode]],3,FALSE)</f>
        <v>MMR012CMP115</v>
      </c>
      <c r="CZ23" s="407" t="str">
        <f t="shared" si="0"/>
        <v>Covered</v>
      </c>
      <c r="DA23" s="407">
        <f>VLOOKUP(WWWW[[#This Row],[Site Name]],SiteDB6[[Site Name]:[PWD_Total]],22,FALSE)</f>
        <v>214</v>
      </c>
      <c r="DB23" s="407">
        <f>VLOOKUP(WWWW[[#This Row],[Site Name]],SiteDB6[[Site Name]:[PWD_Total]],23,FALSE)</f>
        <v>1333</v>
      </c>
      <c r="DC23" s="407">
        <f>VLOOKUP(WWWW[[#This Row],[Site Name]],SiteDB6[[Site Name]:[PWD_Total]],24,FALSE)</f>
        <v>1547</v>
      </c>
      <c r="DD23" s="407"/>
      <c r="DE23" s="33"/>
      <c r="DF23" s="33"/>
      <c r="DG23"/>
      <c r="DI23" s="37"/>
      <c r="DJ23" s="37"/>
      <c r="DK23" s="38"/>
      <c r="DL23" s="38"/>
      <c r="DT23" s="20"/>
      <c r="DU23" s="20"/>
    </row>
    <row r="24" spans="1:125" ht="25.5">
      <c r="A24" s="394" t="s">
        <v>2388</v>
      </c>
      <c r="B24" s="394" t="s">
        <v>413</v>
      </c>
      <c r="C24" s="400" t="s">
        <v>413</v>
      </c>
      <c r="D24" s="400" t="s">
        <v>2597</v>
      </c>
      <c r="E24" s="535" t="s">
        <v>2707</v>
      </c>
      <c r="F24" s="400" t="s">
        <v>299</v>
      </c>
      <c r="G24" s="535" t="str">
        <f>VLOOKUP(WWWW[[#This Row],[Site Name]],SiteDB6[[Site Name]:[Location Type]],8,FALSE)</f>
        <v>Camp</v>
      </c>
      <c r="H24" s="400" t="s">
        <v>434</v>
      </c>
      <c r="I24" s="402">
        <v>2260</v>
      </c>
      <c r="J24" s="402">
        <v>11487</v>
      </c>
      <c r="K24" s="410" t="s">
        <v>2598</v>
      </c>
      <c r="L24" s="411" t="s">
        <v>2599</v>
      </c>
      <c r="M24" s="592">
        <v>549</v>
      </c>
      <c r="N24" s="402">
        <v>9</v>
      </c>
      <c r="O24" s="402">
        <v>126</v>
      </c>
      <c r="P24" s="402">
        <v>2</v>
      </c>
      <c r="Q24" s="401" t="s">
        <v>42</v>
      </c>
      <c r="R24" s="402">
        <v>78</v>
      </c>
      <c r="S24" s="402">
        <v>57</v>
      </c>
      <c r="T24" s="402">
        <v>290</v>
      </c>
      <c r="U24" s="402">
        <v>324</v>
      </c>
      <c r="V24" s="402"/>
      <c r="W24" s="402"/>
      <c r="X24" s="402">
        <v>511</v>
      </c>
      <c r="Y24" s="402">
        <v>246</v>
      </c>
      <c r="Z24" s="402">
        <v>89</v>
      </c>
      <c r="AA24" s="402">
        <v>15</v>
      </c>
      <c r="AB24" s="402"/>
      <c r="AC24" s="402">
        <v>43</v>
      </c>
      <c r="AD24" s="402">
        <v>0</v>
      </c>
      <c r="AE24" s="637" t="s">
        <v>3098</v>
      </c>
      <c r="AF24" s="402">
        <v>299</v>
      </c>
      <c r="AG24" s="402">
        <v>523</v>
      </c>
      <c r="AH24" s="402"/>
      <c r="AI24" s="404">
        <v>0.5</v>
      </c>
      <c r="AJ24" s="402">
        <v>640</v>
      </c>
      <c r="AK24" s="404">
        <v>1</v>
      </c>
      <c r="AL24" s="404">
        <v>0.98</v>
      </c>
      <c r="AM24" s="404">
        <v>0.96</v>
      </c>
      <c r="AN24" s="404">
        <v>0.82</v>
      </c>
      <c r="AO24" s="402">
        <v>32</v>
      </c>
      <c r="AP24" s="402">
        <v>46</v>
      </c>
      <c r="AQ24" s="402">
        <v>3</v>
      </c>
      <c r="AR24" s="402" t="s">
        <v>42</v>
      </c>
      <c r="AS24" s="650" t="s">
        <v>3100</v>
      </c>
      <c r="AT24" s="402">
        <v>969</v>
      </c>
      <c r="AU24" s="402">
        <v>1216</v>
      </c>
      <c r="AV24" s="402">
        <v>701</v>
      </c>
      <c r="AW24" s="402">
        <v>912</v>
      </c>
      <c r="AX24" s="402">
        <v>4520</v>
      </c>
      <c r="AY24" s="402">
        <v>3427</v>
      </c>
      <c r="AZ24" s="404">
        <v>0.46</v>
      </c>
      <c r="BA24" s="404">
        <v>0.99</v>
      </c>
      <c r="BB24" s="404">
        <v>0.82</v>
      </c>
      <c r="BC24" s="404">
        <v>0.67</v>
      </c>
      <c r="BD24" s="650"/>
      <c r="BE24" s="404">
        <v>0.95</v>
      </c>
      <c r="BF24" s="404">
        <v>0.93</v>
      </c>
      <c r="BG24" s="402">
        <v>73</v>
      </c>
      <c r="BH24" s="404">
        <v>0.65</v>
      </c>
      <c r="BI24" s="402">
        <v>0.03</v>
      </c>
      <c r="BJ24" s="399" t="s">
        <v>130</v>
      </c>
      <c r="BK24" s="650" t="s">
        <v>3102</v>
      </c>
      <c r="BL24" s="650" t="s">
        <v>3103</v>
      </c>
      <c r="BM24" s="405">
        <f>IFERROR(WWWW[[#This Row],['#_Water samples _passed_at_water source]]/WWWW[[#This Row],['#_Water samples_Tested_at_water_source]],"no test")</f>
        <v>0.48140900195694714</v>
      </c>
      <c r="BN24" s="404">
        <f>IFERROR(WWWW[[#This Row],['#_Water samples _passed_at_HH]]/WWWW[[#This Row],['#_Water samples_Tested_at_HH]],"no test")</f>
        <v>0.16853932584269662</v>
      </c>
      <c r="BO24" s="403" t="str">
        <f>IF(AND(WWWW[[#This Row],[%of Water samples which passed at water source]]="no test",WWWW[[#This Row],[%Water samples which passed at HH]]="no test"),"No Test","Tested")</f>
        <v>Tested</v>
      </c>
      <c r="BP24"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4" s="401">
        <f>WWWW[[#This Row],[Access to safe/improved water through improved water sources]]*WWWW[[#This Row],[Total PoP ]]</f>
        <v>11487</v>
      </c>
      <c r="BR24" s="404">
        <f>IF((WWWW[[#This Row],['#_litres_of_water_stored_in_ponds]]/90/15)/WWWW[[#This Row],[Total PoP ]]&gt;1,1,(WWWW[[#This Row],['#_litres_of_water_stored_in_ponds]]/90/15)/WWWW[[#This Row],[Total PoP ]])</f>
        <v>0</v>
      </c>
      <c r="BS24" s="401">
        <f>WWWW[[#This Row],[% Access to unimproved water points]]*WWWW[[#This Row],[Total PoP ]]</f>
        <v>0</v>
      </c>
      <c r="BT24" s="404">
        <f>IF(WWWW[[#This Row],[Access to safe/improved water through improved water sources]]+WWWW[[#This Row],[% Access to unimproved water points]]&gt;1,1,WWWW[[#This Row],[Access to safe/improved water through improved water sources]]+WWWW[[#This Row],[% Access to unimproved water points]])</f>
        <v>1</v>
      </c>
      <c r="BU24"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11487</v>
      </c>
      <c r="BV24" s="401">
        <f>WWWW[[#This Row],[HRP1]]/500</f>
        <v>22.974</v>
      </c>
      <c r="BW24" s="406">
        <f>1-WWWW[[#This Row],[% HRP1]]</f>
        <v>0</v>
      </c>
      <c r="BX24" s="401">
        <f>WWWW[[#This Row],[%equitable and continuous access to sufficient quantity of safe drinking and domestic water''s GAP]]*WWWW[[#This Row],[Total PoP ]]</f>
        <v>0</v>
      </c>
      <c r="BY24" s="403">
        <f>ROUND(IF(WWWW[[#This Row],[Total PoP ]]&lt;500,1,WWWW[[#This Row],[Total PoP ]]/500),0)</f>
        <v>23</v>
      </c>
      <c r="BZ24" s="403">
        <f>IF(WWWW[[#This Row],[Total required water points]]-WWWW[[#This Row],['#Water points coverage]]&lt;0,0,WWWW[[#This Row],[Total required water points]]-WWWW[[#This Row],['#Water points coverage]])</f>
        <v>2.5999999999999801E-2</v>
      </c>
      <c r="CA24" s="404">
        <f>WWWW[[#This Row],[HRP2]]/WWWW[[#This Row],[Total PoP ]]</f>
        <v>0.5933664142073648</v>
      </c>
      <c r="CB24"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6816</v>
      </c>
      <c r="CC24" s="403">
        <f>IF(WWWW[[#This Row],['#_of_latrines_in_TLS/CFS]]*50&gt;WWWW[[#This Row],['#_students at TLS_CFS]],WWWW[[#This Row],['#_students at TLS_CFS]],WWWW[[#This Row],['#_of_latrines_in_TLS/CFS]]*50)</f>
        <v>150</v>
      </c>
      <c r="CD24" s="403">
        <f>ROUND(IF(WWWW[[#This Row],[Location Type 1]]="camp",WWWW[[#This Row],[Total PoP ]]/20),0)</f>
        <v>574</v>
      </c>
      <c r="CE24" s="403">
        <f>IF(WWWW[[#This Row],[Total required Latrines]]-WWWW[[#This Row],['#_Existing_latrines]]&lt;0,0,WWWW[[#This Row],[Total required Latrines]]-WWWW[[#This Row],['#_Existing_latrines]])</f>
        <v>51</v>
      </c>
      <c r="CF24" s="72">
        <f>1-WWWW[[#This Row],[% HRP2]]</f>
        <v>0.4066335857926352</v>
      </c>
      <c r="CG24" s="405">
        <f>IF(WWWW[[#This Row],['#_Existing_latrines]]="","NA",(WWWW[[#This Row],['#_Existing_latrines]]-WWWW[[#This Row],['#_Functional_adult_latrines]])/WWWW[[#This Row],['#_Existing_latrines]])</f>
        <v>0.42829827915869984</v>
      </c>
      <c r="CH24"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3798</v>
      </c>
      <c r="CI24"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11487</v>
      </c>
      <c r="CJ24" s="403">
        <f>WWWW[[#This Row],['#_of_affected_women_and_girls_receiving_a_sufficient_quantity_of_sanitary_pads]]</f>
        <v>3427</v>
      </c>
      <c r="CK24" s="403">
        <f>IF(WWWW[[#This Row],['# People with access to soap]]&gt;WWWW[[#This Row],['# People with access to Sanity Pads]],WWWW[[#This Row],['# People with access to soap]],WWWW[[#This Row],['# People with access to Sanity Pads]])</f>
        <v>11487</v>
      </c>
      <c r="CL24" s="403">
        <f>IF(WWWW[[#This Row],['# people reached by regular dedicated hygiene promotion_5]]&gt;WWWW[[#This Row],['# People received regular supply of hygiene items_6]],WWWW[[#This Row],['# people reached by regular dedicated hygiene promotion_5]],WWWW[[#This Row],['# People received regular supply of hygiene items_6]])</f>
        <v>11487</v>
      </c>
      <c r="CM24" s="406">
        <f>IF(WWWW[[#This Row],[HRP3]]/WWWW[[#This Row],[Total PoP ]]&gt;100%,100%,WWWW[[#This Row],[HRP3]]/WWWW[[#This Row],[Total PoP ]])</f>
        <v>1</v>
      </c>
      <c r="CN24" s="405">
        <f>1-WWWW[[#This Row],[Hygiene Coverage%]]</f>
        <v>0</v>
      </c>
      <c r="CO24" s="404">
        <f>WWWW[[#This Row],['# people reached by regular dedicated hygiene promotion_5]]/WWWW[[#This Row],[Total PoP ]]</f>
        <v>0.33063463045181507</v>
      </c>
      <c r="CP24" s="404">
        <f>IF(WWWW[[#This Row],['#_of_affected_households_receiving_a_sufficient_quantity_of_soap]]/WWWW[[#This Row],[Total HH]]&gt;1,1,WWWW[[#This Row],['#_of_affected_households_receiving_a_sufficient_quantity_of_soap]]/WWWW[[#This Row],[Total HH]])</f>
        <v>1</v>
      </c>
      <c r="CQ24" s="401" t="str">
        <f>IF(WWWW[[#This Row],['#_students at TLS_CFS]]="","No","Yes")</f>
        <v>Yes</v>
      </c>
      <c r="CR24" s="399" t="str">
        <f>VLOOKUP(WWWW[[#This Row],[Site Name]],SiteDB6[[Site Name]:[CCCM Management]],6,FALSE)</f>
        <v>Yes</v>
      </c>
      <c r="CS24" s="399">
        <f>VLOOKUP(WWWW[[#This Row],[Site Name]],SiteDB6[[Site Name]:[CCCM Focal Agency]],7,FALSE)</f>
        <v>0</v>
      </c>
      <c r="CT24" s="399" t="str">
        <f>VLOOKUP(WWWW[[#This Row],[Site Name]],SiteDB6[[Site Name]:[Location Type 1]],9,FALSE)</f>
        <v>Camp</v>
      </c>
      <c r="CU24" s="399" t="str">
        <f>VLOOKUP(WWWW[[#This Row],[Site Name]],SiteDB6[[Site Name]:[Type of Accommodation]],10,FALSE)</f>
        <v>Planned Camp</v>
      </c>
      <c r="CV24" s="399" t="str">
        <f>VLOOKUP(WWWW[[#This Row],[Site Name]],SiteDB6[[Site Name]:[Ethnic or GCA/NGCA]],11,FALSE)</f>
        <v>Muslim</v>
      </c>
      <c r="CW24" s="399">
        <f>VLOOKUP(WWWW[[#This Row],[Site Name]],SiteDB6[[Site Name]:[Lat]],12,FALSE)</f>
        <v>20.185092000000001</v>
      </c>
      <c r="CX24" s="399">
        <f>VLOOKUP(WWWW[[#This Row],[Site Name]],SiteDB6[[Site Name]:[Long]],13,FALSE)</f>
        <v>92.802295999999998</v>
      </c>
      <c r="CY24" s="399" t="str">
        <f>VLOOKUP(WWWW[[#This Row],[Site Name]],SiteDB6[[Site Name]:[Pcode]],3,FALSE)</f>
        <v>MMR012CMP116</v>
      </c>
      <c r="CZ24" s="407" t="str">
        <f t="shared" si="0"/>
        <v>Covered</v>
      </c>
      <c r="DA24" s="407">
        <f>VLOOKUP(WWWW[[#This Row],[Site Name]],SiteDB6[[Site Name]:[PWD_Total]],22,FALSE)</f>
        <v>218</v>
      </c>
      <c r="DB24" s="407">
        <f>VLOOKUP(WWWW[[#This Row],[Site Name]],SiteDB6[[Site Name]:[PWD_Total]],23,FALSE)</f>
        <v>1169</v>
      </c>
      <c r="DC24" s="407">
        <f>VLOOKUP(WWWW[[#This Row],[Site Name]],SiteDB6[[Site Name]:[PWD_Total]],24,FALSE)</f>
        <v>1387</v>
      </c>
      <c r="DD24" s="407"/>
      <c r="DE24" s="33"/>
      <c r="DF24" s="33"/>
      <c r="DG24"/>
      <c r="DI24" s="37"/>
      <c r="DJ24" s="37"/>
      <c r="DK24" s="38"/>
      <c r="DL24" s="38"/>
      <c r="DT24" s="20"/>
      <c r="DU24" s="20"/>
    </row>
    <row r="25" spans="1:125" ht="25.5">
      <c r="A25" s="394" t="s">
        <v>2388</v>
      </c>
      <c r="B25" s="394" t="s">
        <v>413</v>
      </c>
      <c r="C25" s="451" t="s">
        <v>413</v>
      </c>
      <c r="D25" s="451" t="s">
        <v>2597</v>
      </c>
      <c r="E25" s="535" t="s">
        <v>2707</v>
      </c>
      <c r="F25" s="400" t="s">
        <v>299</v>
      </c>
      <c r="G25" s="535" t="str">
        <f>VLOOKUP(WWWW[[#This Row],[Site Name]],SiteDB6[[Site Name]:[Location Type]],8,FALSE)</f>
        <v>Camp</v>
      </c>
      <c r="H25" s="451" t="s">
        <v>2312</v>
      </c>
      <c r="I25" s="402">
        <v>400</v>
      </c>
      <c r="J25" s="402">
        <v>2285</v>
      </c>
      <c r="K25" s="410" t="s">
        <v>2598</v>
      </c>
      <c r="L25" s="411" t="s">
        <v>2599</v>
      </c>
      <c r="M25" s="592">
        <v>46</v>
      </c>
      <c r="N25" s="402">
        <v>7</v>
      </c>
      <c r="O25" s="402">
        <v>34</v>
      </c>
      <c r="P25" s="402">
        <v>2</v>
      </c>
      <c r="Q25" s="401" t="s">
        <v>130</v>
      </c>
      <c r="R25" s="402">
        <v>25</v>
      </c>
      <c r="S25" s="402">
        <v>19</v>
      </c>
      <c r="T25" s="402">
        <v>56</v>
      </c>
      <c r="U25" s="402">
        <v>58</v>
      </c>
      <c r="V25" s="402"/>
      <c r="W25" s="402"/>
      <c r="X25" s="402">
        <v>173</v>
      </c>
      <c r="Y25" s="402">
        <v>95</v>
      </c>
      <c r="Z25" s="402">
        <v>127</v>
      </c>
      <c r="AA25" s="402">
        <v>49</v>
      </c>
      <c r="AB25" s="402"/>
      <c r="AC25" s="402">
        <v>28</v>
      </c>
      <c r="AD25" s="402"/>
      <c r="AE25" s="637" t="s">
        <v>3099</v>
      </c>
      <c r="AF25" s="402">
        <v>124</v>
      </c>
      <c r="AG25" s="402">
        <v>124</v>
      </c>
      <c r="AH25" s="402">
        <v>82</v>
      </c>
      <c r="AI25" s="404">
        <v>0.28000000000000003</v>
      </c>
      <c r="AJ25" s="402">
        <v>665.6</v>
      </c>
      <c r="AK25" s="404">
        <v>0.8</v>
      </c>
      <c r="AL25" s="404">
        <v>0.96</v>
      </c>
      <c r="AM25" s="404">
        <v>1</v>
      </c>
      <c r="AN25" s="404">
        <v>0.82</v>
      </c>
      <c r="AO25" s="402">
        <v>0</v>
      </c>
      <c r="AP25" s="402">
        <v>10</v>
      </c>
      <c r="AQ25" s="402">
        <v>3</v>
      </c>
      <c r="AR25" s="402" t="s">
        <v>42</v>
      </c>
      <c r="AS25" s="650" t="s">
        <v>3101</v>
      </c>
      <c r="AT25" s="402">
        <v>127</v>
      </c>
      <c r="AU25" s="402">
        <v>293</v>
      </c>
      <c r="AV25" s="402">
        <v>130</v>
      </c>
      <c r="AW25" s="402">
        <v>170</v>
      </c>
      <c r="AX25" s="402">
        <v>800</v>
      </c>
      <c r="AY25" s="402">
        <v>423</v>
      </c>
      <c r="AZ25" s="404">
        <v>0.47</v>
      </c>
      <c r="BA25" s="404">
        <v>0.98</v>
      </c>
      <c r="BB25" s="404">
        <v>0.98</v>
      </c>
      <c r="BC25" s="404"/>
      <c r="BD25" s="650"/>
      <c r="BE25" s="404">
        <v>0.93</v>
      </c>
      <c r="BF25" s="404">
        <v>0.95</v>
      </c>
      <c r="BG25" s="402">
        <v>86</v>
      </c>
      <c r="BH25" s="404">
        <v>0.51</v>
      </c>
      <c r="BI25" s="402">
        <v>0.02</v>
      </c>
      <c r="BJ25" s="399" t="s">
        <v>130</v>
      </c>
      <c r="BK25" s="650" t="s">
        <v>3102</v>
      </c>
      <c r="BL25" s="650" t="s">
        <v>3103</v>
      </c>
      <c r="BM25" s="405">
        <f>IFERROR(WWWW[[#This Row],['#_Water samples _passed_at_water source]]/WWWW[[#This Row],['#_Water samples_Tested_at_water_source]],"no test")</f>
        <v>0.54913294797687862</v>
      </c>
      <c r="BN25" s="404">
        <f>IFERROR(WWWW[[#This Row],['#_Water samples _passed_at_HH]]/WWWW[[#This Row],['#_Water samples_Tested_at_HH]],"no test")</f>
        <v>0.38582677165354329</v>
      </c>
      <c r="BO25" s="403" t="str">
        <f>IF(AND(WWWW[[#This Row],[%of Water samples which passed at water source]]="no test",WWWW[[#This Row],[%Water samples which passed at HH]]="no test"),"No Test","Tested")</f>
        <v>Tested</v>
      </c>
      <c r="BP25"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5" s="401">
        <f>WWWW[[#This Row],[Access to safe/improved water through improved water sources]]*WWWW[[#This Row],[Total PoP ]]</f>
        <v>2285</v>
      </c>
      <c r="BR25" s="404">
        <f>IF((WWWW[[#This Row],['#_litres_of_water_stored_in_ponds]]/90/15)/WWWW[[#This Row],[Total PoP ]]&gt;1,1,(WWWW[[#This Row],['#_litres_of_water_stored_in_ponds]]/90/15)/WWWW[[#This Row],[Total PoP ]])</f>
        <v>0</v>
      </c>
      <c r="BS25" s="401">
        <f>WWWW[[#This Row],[% Access to unimproved water points]]*WWWW[[#This Row],[Total PoP ]]</f>
        <v>0</v>
      </c>
      <c r="BT25" s="404">
        <f>IF(WWWW[[#This Row],[Access to safe/improved water through improved water sources]]+WWWW[[#This Row],[% Access to unimproved water points]]&gt;1,1,WWWW[[#This Row],[Access to safe/improved water through improved water sources]]+WWWW[[#This Row],[% Access to unimproved water points]])</f>
        <v>1</v>
      </c>
      <c r="BU25"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2285</v>
      </c>
      <c r="BV25" s="401">
        <f>WWWW[[#This Row],[HRP1]]/500</f>
        <v>4.57</v>
      </c>
      <c r="BW25" s="406">
        <f>1-WWWW[[#This Row],[% HRP1]]</f>
        <v>0</v>
      </c>
      <c r="BX25" s="401">
        <f>WWWW[[#This Row],[%equitable and continuous access to sufficient quantity of safe drinking and domestic water''s GAP]]*WWWW[[#This Row],[Total PoP ]]</f>
        <v>0</v>
      </c>
      <c r="BY25" s="403">
        <f>ROUND(IF(WWWW[[#This Row],[Total PoP ]]&lt;500,1,WWWW[[#This Row],[Total PoP ]]/500),0)</f>
        <v>5</v>
      </c>
      <c r="BZ25" s="403">
        <f>IF(WWWW[[#This Row],[Total required water points]]-WWWW[[#This Row],['#Water points coverage]]&lt;0,0,WWWW[[#This Row],[Total required water points]]-WWWW[[#This Row],['#Water points coverage]])</f>
        <v>0.42999999999999972</v>
      </c>
      <c r="CA25" s="404">
        <f>WWWW[[#This Row],[HRP2]]/WWWW[[#This Row],[Total PoP ]]</f>
        <v>1</v>
      </c>
      <c r="CB25"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2285</v>
      </c>
      <c r="CC25" s="403">
        <f>IF(WWWW[[#This Row],['#_of_latrines_in_TLS/CFS]]*50&gt;WWWW[[#This Row],['#_students at TLS_CFS]],WWWW[[#This Row],['#_students at TLS_CFS]],WWWW[[#This Row],['#_of_latrines_in_TLS/CFS]]*50)</f>
        <v>46</v>
      </c>
      <c r="CD25" s="403">
        <f>ROUND(IF(WWWW[[#This Row],[Location Type 1]]="camp",WWWW[[#This Row],[Total PoP ]]/20),0)</f>
        <v>114</v>
      </c>
      <c r="CE25" s="403">
        <f>IF(WWWW[[#This Row],[Total required Latrines]]-WWWW[[#This Row],['#_Existing_latrines]]&lt;0,0,WWWW[[#This Row],[Total required Latrines]]-WWWW[[#This Row],['#_Existing_latrines]])</f>
        <v>0</v>
      </c>
      <c r="CF25" s="72">
        <f>1-WWWW[[#This Row],[% HRP2]]</f>
        <v>0</v>
      </c>
      <c r="CG25" s="405">
        <f>IF(WWWW[[#This Row],['#_Existing_latrines]]="","NA",(WWWW[[#This Row],['#_Existing_latrines]]-WWWW[[#This Row],['#_Functional_adult_latrines]])/WWWW[[#This Row],['#_Existing_latrines]])</f>
        <v>0</v>
      </c>
      <c r="CH25"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720</v>
      </c>
      <c r="CI25"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2285</v>
      </c>
      <c r="CJ25" s="403">
        <f>WWWW[[#This Row],['#_of_affected_women_and_girls_receiving_a_sufficient_quantity_of_sanitary_pads]]</f>
        <v>423</v>
      </c>
      <c r="CK25" s="403">
        <f>IF(WWWW[[#This Row],['# People with access to soap]]&gt;WWWW[[#This Row],['# People with access to Sanity Pads]],WWWW[[#This Row],['# People with access to soap]],WWWW[[#This Row],['# People with access to Sanity Pads]])</f>
        <v>2285</v>
      </c>
      <c r="CL25" s="403">
        <f>IF(WWWW[[#This Row],['# people reached by regular dedicated hygiene promotion_5]]&gt;WWWW[[#This Row],['# People received regular supply of hygiene items_6]],WWWW[[#This Row],['# people reached by regular dedicated hygiene promotion_5]],WWWW[[#This Row],['# People received regular supply of hygiene items_6]])</f>
        <v>2285</v>
      </c>
      <c r="CM25" s="406">
        <f>IF(WWWW[[#This Row],[HRP3]]/WWWW[[#This Row],[Total PoP ]]&gt;100%,100%,WWWW[[#This Row],[HRP3]]/WWWW[[#This Row],[Total PoP ]])</f>
        <v>1</v>
      </c>
      <c r="CN25" s="405">
        <f>1-WWWW[[#This Row],[Hygiene Coverage%]]</f>
        <v>0</v>
      </c>
      <c r="CO25" s="404">
        <f>WWWW[[#This Row],['# people reached by regular dedicated hygiene promotion_5]]/WWWW[[#This Row],[Total PoP ]]</f>
        <v>0.31509846827133481</v>
      </c>
      <c r="CP25" s="404">
        <f>IF(WWWW[[#This Row],['#_of_affected_households_receiving_a_sufficient_quantity_of_soap]]/WWWW[[#This Row],[Total HH]]&gt;1,1,WWWW[[#This Row],['#_of_affected_households_receiving_a_sufficient_quantity_of_soap]]/WWWW[[#This Row],[Total HH]])</f>
        <v>1</v>
      </c>
      <c r="CQ25" s="401" t="str">
        <f>IF(WWWW[[#This Row],['#_students at TLS_CFS]]="","No","Yes")</f>
        <v>Yes</v>
      </c>
      <c r="CR25" s="399">
        <f>VLOOKUP(WWWW[[#This Row],[Site Name]],SiteDB6[[Site Name]:[CCCM Management]],6,FALSE)</f>
        <v>0</v>
      </c>
      <c r="CS25" s="399">
        <f>VLOOKUP(WWWW[[#This Row],[Site Name]],SiteDB6[[Site Name]:[CCCM Focal Agency]],7,FALSE)</f>
        <v>0</v>
      </c>
      <c r="CT25" s="399" t="str">
        <f>VLOOKUP(WWWW[[#This Row],[Site Name]],SiteDB6[[Site Name]:[Location Type 1]],9,FALSE)</f>
        <v>Camp</v>
      </c>
      <c r="CU25" s="399" t="str">
        <f>VLOOKUP(WWWW[[#This Row],[Site Name]],SiteDB6[[Site Name]:[Type of Accommodation]],10,FALSE)</f>
        <v>Planned Camp</v>
      </c>
      <c r="CV25" s="399" t="str">
        <f>VLOOKUP(WWWW[[#This Row],[Site Name]],SiteDB6[[Site Name]:[Ethnic or GCA/NGCA]],11,FALSE)</f>
        <v>Muslim</v>
      </c>
      <c r="CW25" s="399">
        <f>VLOOKUP(WWWW[[#This Row],[Site Name]],SiteDB6[[Site Name]:[Lat]],12,FALSE)</f>
        <v>20.207284999999999</v>
      </c>
      <c r="CX25" s="399">
        <f>VLOOKUP(WWWW[[#This Row],[Site Name]],SiteDB6[[Site Name]:[Long]],13,FALSE)</f>
        <v>92.788177000000005</v>
      </c>
      <c r="CY25" s="399" t="str">
        <f>VLOOKUP(WWWW[[#This Row],[Site Name]],SiteDB6[[Site Name]:[Pcode]],3,FALSE)</f>
        <v>MMR012CMP045</v>
      </c>
      <c r="CZ25" s="407" t="str">
        <f t="shared" si="0"/>
        <v>Covered</v>
      </c>
      <c r="DA25" s="407">
        <f>VLOOKUP(WWWW[[#This Row],[Site Name]],SiteDB6[[Site Name]:[PWD_Total]],22,FALSE)</f>
        <v>0</v>
      </c>
      <c r="DB25" s="407">
        <f>VLOOKUP(WWWW[[#This Row],[Site Name]],SiteDB6[[Site Name]:[PWD_Total]],23,FALSE)</f>
        <v>0</v>
      </c>
      <c r="DC25" s="407">
        <f>VLOOKUP(WWWW[[#This Row],[Site Name]],SiteDB6[[Site Name]:[PWD_Total]],24,FALSE)</f>
        <v>0</v>
      </c>
      <c r="DD25" s="407"/>
      <c r="DE25" s="33"/>
      <c r="DF25" s="33"/>
      <c r="DG25"/>
      <c r="DI25" s="37"/>
      <c r="DJ25" s="37"/>
      <c r="DK25" s="38"/>
      <c r="DL25" s="38"/>
      <c r="DT25" s="20"/>
      <c r="DU25" s="20"/>
    </row>
    <row r="26" spans="1:125">
      <c r="A26" s="394" t="s">
        <v>2388</v>
      </c>
      <c r="B26" s="394" t="s">
        <v>2703</v>
      </c>
      <c r="C26" s="451" t="s">
        <v>2308</v>
      </c>
      <c r="D26" s="400" t="s">
        <v>41</v>
      </c>
      <c r="E26" s="535" t="s">
        <v>2707</v>
      </c>
      <c r="F26" s="400" t="s">
        <v>299</v>
      </c>
      <c r="G26" s="535" t="str">
        <f>VLOOKUP(WWWW[[#This Row],[Site Name]],SiteDB6[[Site Name]:[Location Type]],8,FALSE)</f>
        <v>Camp</v>
      </c>
      <c r="H26" s="451" t="s">
        <v>443</v>
      </c>
      <c r="I26" s="402">
        <v>2280</v>
      </c>
      <c r="J26" s="402">
        <v>11564</v>
      </c>
      <c r="K26" s="408"/>
      <c r="L26" s="409">
        <v>44104</v>
      </c>
      <c r="M26" s="592">
        <v>1444</v>
      </c>
      <c r="N26" s="592">
        <v>49</v>
      </c>
      <c r="O26" s="592">
        <v>115</v>
      </c>
      <c r="P26" s="592">
        <v>0</v>
      </c>
      <c r="Q26" s="545" t="s">
        <v>130</v>
      </c>
      <c r="R26" s="592">
        <v>43</v>
      </c>
      <c r="S26" s="592">
        <v>29</v>
      </c>
      <c r="T26" s="592">
        <v>156</v>
      </c>
      <c r="U26" s="592">
        <v>185</v>
      </c>
      <c r="V26" s="402"/>
      <c r="W26" s="402"/>
      <c r="X26" s="402"/>
      <c r="Y26" s="402"/>
      <c r="Z26" s="402"/>
      <c r="AA26" s="402"/>
      <c r="AB26" s="402"/>
      <c r="AC26" s="402"/>
      <c r="AD26" s="402">
        <v>13</v>
      </c>
      <c r="AE26" s="637"/>
      <c r="AF26" s="592">
        <v>469</v>
      </c>
      <c r="AG26" s="592">
        <v>520</v>
      </c>
      <c r="AH26" s="592">
        <v>76</v>
      </c>
      <c r="AI26" s="537">
        <v>0.39</v>
      </c>
      <c r="AJ26" s="592">
        <v>304</v>
      </c>
      <c r="AK26" s="537">
        <v>1</v>
      </c>
      <c r="AL26" s="537">
        <v>0.73</v>
      </c>
      <c r="AM26" s="537">
        <v>0</v>
      </c>
      <c r="AN26" s="537">
        <v>0</v>
      </c>
      <c r="AO26" s="402"/>
      <c r="AP26" s="402"/>
      <c r="AQ26" s="402">
        <v>53</v>
      </c>
      <c r="AR26" s="592" t="s">
        <v>42</v>
      </c>
      <c r="AS26" s="650"/>
      <c r="AT26" s="592">
        <v>618</v>
      </c>
      <c r="AU26" s="592">
        <v>8179</v>
      </c>
      <c r="AV26" s="592">
        <v>838</v>
      </c>
      <c r="AW26" s="592">
        <v>2947</v>
      </c>
      <c r="AX26" s="592">
        <v>2280</v>
      </c>
      <c r="AY26" s="402"/>
      <c r="AZ26" s="402"/>
      <c r="BA26" s="402"/>
      <c r="BB26" s="402"/>
      <c r="BC26" s="404">
        <v>1</v>
      </c>
      <c r="BD26" s="650"/>
      <c r="BE26" s="404"/>
      <c r="BF26" s="404"/>
      <c r="BG26" s="402"/>
      <c r="BH26" s="404"/>
      <c r="BI26" s="402"/>
      <c r="BJ26" s="399"/>
      <c r="BK26" s="650"/>
      <c r="BL26" s="650"/>
      <c r="BM26" s="405" t="str">
        <f>IFERROR(WWWW[[#This Row],['#_Water samples _passed_at_water source]]/WWWW[[#This Row],['#_Water samples_Tested_at_water_source]],"no test")</f>
        <v>no test</v>
      </c>
      <c r="BN26" s="404" t="str">
        <f>IFERROR(WWWW[[#This Row],['#_Water samples _passed_at_HH]]/WWWW[[#This Row],['#_Water samples_Tested_at_HH]],"no test")</f>
        <v>no test</v>
      </c>
      <c r="BO26" s="403" t="str">
        <f>IF(AND(WWWW[[#This Row],[%of Water samples which passed at water source]]="no test",WWWW[[#This Row],[%Water samples which passed at HH]]="no test"),"No Test","Tested")</f>
        <v>No Test</v>
      </c>
      <c r="BP26"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6" s="401">
        <f>WWWW[[#This Row],[Access to safe/improved water through improved water sources]]*WWWW[[#This Row],[Total PoP ]]</f>
        <v>11564</v>
      </c>
      <c r="BR26" s="404">
        <f>IF((WWWW[[#This Row],['#_litres_of_water_stored_in_ponds]]/90/15)/WWWW[[#This Row],[Total PoP ]]&gt;1,1,(WWWW[[#This Row],['#_litres_of_water_stored_in_ponds]]/90/15)/WWWW[[#This Row],[Total PoP ]])</f>
        <v>0</v>
      </c>
      <c r="BS26" s="401">
        <f>WWWW[[#This Row],[% Access to unimproved water points]]*WWWW[[#This Row],[Total PoP ]]</f>
        <v>0</v>
      </c>
      <c r="BT26" s="404">
        <f>IF(WWWW[[#This Row],[Access to safe/improved water through improved water sources]]+WWWW[[#This Row],[% Access to unimproved water points]]&gt;1,1,WWWW[[#This Row],[Access to safe/improved water through improved water sources]]+WWWW[[#This Row],[% Access to unimproved water points]])</f>
        <v>1</v>
      </c>
      <c r="BU26"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11564</v>
      </c>
      <c r="BV26" s="401">
        <f>WWWW[[#This Row],[HRP1]]/500</f>
        <v>23.128</v>
      </c>
      <c r="BW26" s="406">
        <f>1-WWWW[[#This Row],[% HRP1]]</f>
        <v>0</v>
      </c>
      <c r="BX26" s="401">
        <f>WWWW[[#This Row],[%equitable and continuous access to sufficient quantity of safe drinking and domestic water''s GAP]]*WWWW[[#This Row],[Total PoP ]]</f>
        <v>0</v>
      </c>
      <c r="BY26" s="403">
        <f>ROUND(IF(WWWW[[#This Row],[Total PoP ]]&lt;500,1,WWWW[[#This Row],[Total PoP ]]/500),0)</f>
        <v>23</v>
      </c>
      <c r="BZ26" s="403">
        <f>IF(WWWW[[#This Row],[Total required water points]]-WWWW[[#This Row],['#Water points coverage]]&lt;0,0,WWWW[[#This Row],[Total required water points]]-WWWW[[#This Row],['#Water points coverage]])</f>
        <v>0</v>
      </c>
      <c r="CA26" s="404">
        <f>WWWW[[#This Row],[HRP2]]/WWWW[[#This Row],[Total PoP ]]</f>
        <v>1</v>
      </c>
      <c r="CB26"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11564</v>
      </c>
      <c r="CC26" s="403">
        <f>IF(WWWW[[#This Row],['#_of_latrines_in_TLS/CFS]]*50&gt;WWWW[[#This Row],['#_students at TLS_CFS]],WWWW[[#This Row],['#_students at TLS_CFS]],WWWW[[#This Row],['#_of_latrines_in_TLS/CFS]]*50)</f>
        <v>1444</v>
      </c>
      <c r="CD26" s="403">
        <f>ROUND(IF(WWWW[[#This Row],[Location Type 1]]="camp",WWWW[[#This Row],[Total PoP ]]/20),0)</f>
        <v>578</v>
      </c>
      <c r="CE26" s="403">
        <f>IF(WWWW[[#This Row],[Total required Latrines]]-WWWW[[#This Row],['#_Existing_latrines]]&lt;0,0,WWWW[[#This Row],[Total required Latrines]]-WWWW[[#This Row],['#_Existing_latrines]])</f>
        <v>58</v>
      </c>
      <c r="CF26" s="72">
        <f>1-WWWW[[#This Row],[% HRP2]]</f>
        <v>0</v>
      </c>
      <c r="CG26" s="405">
        <f>IF(WWWW[[#This Row],['#_Existing_latrines]]="","NA",(WWWW[[#This Row],['#_Existing_latrines]]-WWWW[[#This Row],['#_Functional_adult_latrines]])/WWWW[[#This Row],['#_Existing_latrines]])</f>
        <v>9.8076923076923075E-2</v>
      </c>
      <c r="CH26"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11564</v>
      </c>
      <c r="CI26"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11564</v>
      </c>
      <c r="CJ26" s="403">
        <f>WWWW[[#This Row],['#_of_affected_women_and_girls_receiving_a_sufficient_quantity_of_sanitary_pads]]</f>
        <v>0</v>
      </c>
      <c r="CK26" s="403">
        <f>IF(WWWW[[#This Row],['# People with access to soap]]&gt;WWWW[[#This Row],['# People with access to Sanity Pads]],WWWW[[#This Row],['# People with access to soap]],WWWW[[#This Row],['# People with access to Sanity Pads]])</f>
        <v>11564</v>
      </c>
      <c r="CL26" s="403">
        <f>IF(WWWW[[#This Row],['# people reached by regular dedicated hygiene promotion_5]]&gt;WWWW[[#This Row],['# People received regular supply of hygiene items_6]],WWWW[[#This Row],['# people reached by regular dedicated hygiene promotion_5]],WWWW[[#This Row],['# People received regular supply of hygiene items_6]])</f>
        <v>11564</v>
      </c>
      <c r="CM26" s="406">
        <f>IF(WWWW[[#This Row],[HRP3]]/WWWW[[#This Row],[Total PoP ]]&gt;100%,100%,WWWW[[#This Row],[HRP3]]/WWWW[[#This Row],[Total PoP ]])</f>
        <v>1</v>
      </c>
      <c r="CN26" s="405">
        <f>1-WWWW[[#This Row],[Hygiene Coverage%]]</f>
        <v>0</v>
      </c>
      <c r="CO26" s="404">
        <f>WWWW[[#This Row],['# people reached by regular dedicated hygiene promotion_5]]/WWWW[[#This Row],[Total PoP ]]</f>
        <v>1</v>
      </c>
      <c r="CP26" s="404">
        <f>IF(WWWW[[#This Row],['#_of_affected_households_receiving_a_sufficient_quantity_of_soap]]/WWWW[[#This Row],[Total HH]]&gt;1,1,WWWW[[#This Row],['#_of_affected_households_receiving_a_sufficient_quantity_of_soap]]/WWWW[[#This Row],[Total HH]])</f>
        <v>1</v>
      </c>
      <c r="CQ26" s="401" t="str">
        <f>IF(WWWW[[#This Row],['#_students at TLS_CFS]]="","No","Yes")</f>
        <v>Yes</v>
      </c>
      <c r="CR26" s="399" t="str">
        <f>VLOOKUP(WWWW[[#This Row],[Site Name]],SiteDB6[[Site Name]:[CCCM Management]],6,FALSE)</f>
        <v>Yes</v>
      </c>
      <c r="CS26" s="399">
        <f>VLOOKUP(WWWW[[#This Row],[Site Name]],SiteDB6[[Site Name]:[CCCM Focal Agency]],7,FALSE)</f>
        <v>0</v>
      </c>
      <c r="CT26" s="399" t="str">
        <f>VLOOKUP(WWWW[[#This Row],[Site Name]],SiteDB6[[Site Name]:[Location Type 1]],9,FALSE)</f>
        <v>Camp</v>
      </c>
      <c r="CU26" s="399" t="str">
        <f>VLOOKUP(WWWW[[#This Row],[Site Name]],SiteDB6[[Site Name]:[Type of Accommodation]],10,FALSE)</f>
        <v>Planned Camp</v>
      </c>
      <c r="CV26" s="399" t="str">
        <f>VLOOKUP(WWWW[[#This Row],[Site Name]],SiteDB6[[Site Name]:[Ethnic or GCA/NGCA]],11,FALSE)</f>
        <v>Muslim</v>
      </c>
      <c r="CW26" s="399">
        <f>VLOOKUP(WWWW[[#This Row],[Site Name]],SiteDB6[[Site Name]:[Lat]],12,FALSE)</f>
        <v>20.202525000000001</v>
      </c>
      <c r="CX26" s="399">
        <f>VLOOKUP(WWWW[[#This Row],[Site Name]],SiteDB6[[Site Name]:[Long]],13,FALSE)</f>
        <v>92.792479999999998</v>
      </c>
      <c r="CY26" s="399" t="str">
        <f>VLOOKUP(WWWW[[#This Row],[Site Name]],SiteDB6[[Site Name]:[Pcode]],3,FALSE)</f>
        <v>MMR012CMP045</v>
      </c>
      <c r="CZ26" s="407" t="str">
        <f t="shared" si="0"/>
        <v>Covered</v>
      </c>
      <c r="DA26" s="407">
        <f>VLOOKUP(WWWW[[#This Row],[Site Name]],SiteDB6[[Site Name]:[PWD_Total]],22,FALSE)</f>
        <v>116</v>
      </c>
      <c r="DB26" s="407">
        <f>VLOOKUP(WWWW[[#This Row],[Site Name]],SiteDB6[[Site Name]:[PWD_Total]],23,FALSE)</f>
        <v>1099</v>
      </c>
      <c r="DC26" s="407">
        <f>VLOOKUP(WWWW[[#This Row],[Site Name]],SiteDB6[[Site Name]:[PWD_Total]],24,FALSE)</f>
        <v>1215</v>
      </c>
      <c r="DD26" s="407"/>
      <c r="DE26" s="33"/>
      <c r="DF26" s="33"/>
      <c r="DG26"/>
      <c r="DI26" s="37"/>
      <c r="DJ26" s="37"/>
      <c r="DK26" s="38"/>
      <c r="DL26" s="38"/>
      <c r="DT26" s="20"/>
      <c r="DU26" s="20"/>
    </row>
    <row r="27" spans="1:125">
      <c r="A27" s="394" t="s">
        <v>2388</v>
      </c>
      <c r="B27" s="394" t="s">
        <v>291</v>
      </c>
      <c r="C27" s="400" t="s">
        <v>291</v>
      </c>
      <c r="D27" s="400" t="s">
        <v>238</v>
      </c>
      <c r="E27" s="535" t="s">
        <v>2707</v>
      </c>
      <c r="F27" s="400" t="s">
        <v>406</v>
      </c>
      <c r="G27" s="535" t="str">
        <f>VLOOKUP(WWWW[[#This Row],[Site Name]],SiteDB6[[Site Name]:[Location Type]],8,FALSE)</f>
        <v>Camp</v>
      </c>
      <c r="H27" s="400" t="s">
        <v>409</v>
      </c>
      <c r="I27" s="402">
        <v>744</v>
      </c>
      <c r="J27" s="402">
        <v>2805</v>
      </c>
      <c r="K27" s="408">
        <v>43556</v>
      </c>
      <c r="L27" s="409">
        <v>43921</v>
      </c>
      <c r="M27" s="402">
        <v>209</v>
      </c>
      <c r="N27" s="402">
        <v>2</v>
      </c>
      <c r="O27" s="402">
        <v>15</v>
      </c>
      <c r="P27" s="402">
        <v>0</v>
      </c>
      <c r="Q27" s="401" t="s">
        <v>42</v>
      </c>
      <c r="R27" s="402">
        <v>13</v>
      </c>
      <c r="S27" s="402">
        <v>5</v>
      </c>
      <c r="T27" s="592">
        <v>23</v>
      </c>
      <c r="U27" s="592">
        <v>24</v>
      </c>
      <c r="V27" s="592">
        <v>3703500</v>
      </c>
      <c r="W27" s="402"/>
      <c r="X27" s="592">
        <v>0</v>
      </c>
      <c r="Y27" s="592"/>
      <c r="Z27" s="592">
        <v>79</v>
      </c>
      <c r="AA27" s="592">
        <v>64</v>
      </c>
      <c r="AB27" s="402"/>
      <c r="AC27" s="592">
        <v>3</v>
      </c>
      <c r="AD27" s="592">
        <v>2</v>
      </c>
      <c r="AE27" s="638" t="s">
        <v>3095</v>
      </c>
      <c r="AF27" s="402">
        <v>356</v>
      </c>
      <c r="AG27" s="402">
        <v>358</v>
      </c>
      <c r="AH27" s="402">
        <v>32</v>
      </c>
      <c r="AI27" s="404"/>
      <c r="AJ27" s="402">
        <v>50</v>
      </c>
      <c r="AK27" s="402"/>
      <c r="AL27" s="402"/>
      <c r="AM27" s="402"/>
      <c r="AN27" s="592"/>
      <c r="AO27" s="592"/>
      <c r="AP27" s="402"/>
      <c r="AQ27" s="402">
        <v>3</v>
      </c>
      <c r="AR27" s="402" t="s">
        <v>42</v>
      </c>
      <c r="AS27" s="650"/>
      <c r="AT27" s="592">
        <v>1223</v>
      </c>
      <c r="AU27" s="592">
        <v>2464</v>
      </c>
      <c r="AV27" s="592">
        <v>1014</v>
      </c>
      <c r="AW27" s="592">
        <v>1120</v>
      </c>
      <c r="AX27" s="592">
        <v>744</v>
      </c>
      <c r="AY27" s="592">
        <v>588</v>
      </c>
      <c r="AZ27" s="714"/>
      <c r="BA27" s="402"/>
      <c r="BB27" s="402"/>
      <c r="BC27" s="714">
        <v>1</v>
      </c>
      <c r="BD27" s="651"/>
      <c r="BE27" s="537"/>
      <c r="BF27" s="537"/>
      <c r="BG27" s="592"/>
      <c r="BH27" s="537"/>
      <c r="BI27" s="592"/>
      <c r="BJ27" s="540"/>
      <c r="BK27" s="650"/>
      <c r="BL27" s="650"/>
      <c r="BM27" s="405" t="str">
        <f>IFERROR(WWWW[[#This Row],['#_Water samples _passed_at_water source]]/WWWW[[#This Row],['#_Water samples_Tested_at_water_source]],"no test")</f>
        <v>no test</v>
      </c>
      <c r="BN27" s="404">
        <f>IFERROR(WWWW[[#This Row],['#_Water samples _passed_at_HH]]/WWWW[[#This Row],['#_Water samples_Tested_at_HH]],"no test")</f>
        <v>0.810126582278481</v>
      </c>
      <c r="BO27" s="403" t="str">
        <f>IF(AND(WWWW[[#This Row],[%of Water samples which passed at water source]]="no test",WWWW[[#This Row],[%Water samples which passed at HH]]="no test"),"No Test","Tested")</f>
        <v>Tested</v>
      </c>
      <c r="BP27"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7" s="401">
        <f>WWWW[[#This Row],[Access to safe/improved water through improved water sources]]*WWWW[[#This Row],[Total PoP ]]</f>
        <v>2805</v>
      </c>
      <c r="BR27" s="404">
        <f>IF((WWWW[[#This Row],['#_litres_of_water_stored_in_ponds]]/90/15)/WWWW[[#This Row],[Total PoP ]]&gt;1,1,(WWWW[[#This Row],['#_litres_of_water_stored_in_ponds]]/90/15)/WWWW[[#This Row],[Total PoP ]])</f>
        <v>0</v>
      </c>
      <c r="BS27" s="401">
        <f>WWWW[[#This Row],[% Access to unimproved water points]]*WWWW[[#This Row],[Total PoP ]]</f>
        <v>0</v>
      </c>
      <c r="BT27" s="404">
        <f>IF(WWWW[[#This Row],[Access to safe/improved water through improved water sources]]+WWWW[[#This Row],[% Access to unimproved water points]]&gt;1,1,WWWW[[#This Row],[Access to safe/improved water through improved water sources]]+WWWW[[#This Row],[% Access to unimproved water points]])</f>
        <v>1</v>
      </c>
      <c r="BU27"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2805</v>
      </c>
      <c r="BV27" s="401">
        <f>WWWW[[#This Row],[HRP1]]/500</f>
        <v>5.61</v>
      </c>
      <c r="BW27" s="406">
        <f>1-WWWW[[#This Row],[% HRP1]]</f>
        <v>0</v>
      </c>
      <c r="BX27" s="401">
        <f>WWWW[[#This Row],[%equitable and continuous access to sufficient quantity of safe drinking and domestic water''s GAP]]*WWWW[[#This Row],[Total PoP ]]</f>
        <v>0</v>
      </c>
      <c r="BY27" s="403">
        <f>ROUND(IF(WWWW[[#This Row],[Total PoP ]]&lt;500,1,WWWW[[#This Row],[Total PoP ]]/500),0)</f>
        <v>6</v>
      </c>
      <c r="BZ27" s="403">
        <f>IF(WWWW[[#This Row],[Total required water points]]-WWWW[[#This Row],['#Water points coverage]]&lt;0,0,WWWW[[#This Row],[Total required water points]]-WWWW[[#This Row],['#Water points coverage]])</f>
        <v>0.38999999999999968</v>
      </c>
      <c r="CA27" s="404">
        <f>WWWW[[#This Row],[HRP2]]/WWWW[[#This Row],[Total PoP ]]</f>
        <v>1</v>
      </c>
      <c r="CB27"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2805</v>
      </c>
      <c r="CC27" s="403">
        <f>IF(WWWW[[#This Row],['#_of_latrines_in_TLS/CFS]]*50&gt;WWWW[[#This Row],['#_students at TLS_CFS]],WWWW[[#This Row],['#_students at TLS_CFS]],WWWW[[#This Row],['#_of_latrines_in_TLS/CFS]]*50)</f>
        <v>150</v>
      </c>
      <c r="CD27" s="403">
        <f>ROUND(IF(WWWW[[#This Row],[Location Type 1]]="camp",WWWW[[#This Row],[Total PoP ]]/20),0)</f>
        <v>140</v>
      </c>
      <c r="CE27" s="403">
        <f>IF(WWWW[[#This Row],[Total required Latrines]]-WWWW[[#This Row],['#_Existing_latrines]]&lt;0,0,WWWW[[#This Row],[Total required Latrines]]-WWWW[[#This Row],['#_Existing_latrines]])</f>
        <v>0</v>
      </c>
      <c r="CF27" s="72">
        <f>1-WWWW[[#This Row],[% HRP2]]</f>
        <v>0</v>
      </c>
      <c r="CG27" s="405">
        <f>IF(WWWW[[#This Row],['#_Existing_latrines]]="","NA",(WWWW[[#This Row],['#_Existing_latrines]]-WWWW[[#This Row],['#_Functional_adult_latrines]])/WWWW[[#This Row],['#_Existing_latrines]])</f>
        <v>5.5865921787709499E-3</v>
      </c>
      <c r="CH27"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2805</v>
      </c>
      <c r="CI27"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2805</v>
      </c>
      <c r="CJ27" s="403">
        <f>WWWW[[#This Row],['#_of_affected_women_and_girls_receiving_a_sufficient_quantity_of_sanitary_pads]]</f>
        <v>588</v>
      </c>
      <c r="CK27" s="403">
        <f>IF(WWWW[[#This Row],['# People with access to soap]]&gt;WWWW[[#This Row],['# People with access to Sanity Pads]],WWWW[[#This Row],['# People with access to soap]],WWWW[[#This Row],['# People with access to Sanity Pads]])</f>
        <v>2805</v>
      </c>
      <c r="CL27" s="403">
        <f>IF(WWWW[[#This Row],['# people reached by regular dedicated hygiene promotion_5]]&gt;WWWW[[#This Row],['# People received regular supply of hygiene items_6]],WWWW[[#This Row],['# people reached by regular dedicated hygiene promotion_5]],WWWW[[#This Row],['# People received regular supply of hygiene items_6]])</f>
        <v>2805</v>
      </c>
      <c r="CM27" s="406">
        <f>IF(WWWW[[#This Row],[HRP3]]/WWWW[[#This Row],[Total PoP ]]&gt;100%,100%,WWWW[[#This Row],[HRP3]]/WWWW[[#This Row],[Total PoP ]])</f>
        <v>1</v>
      </c>
      <c r="CN27" s="405">
        <f>1-WWWW[[#This Row],[Hygiene Coverage%]]</f>
        <v>0</v>
      </c>
      <c r="CO27" s="404">
        <f>WWWW[[#This Row],['# people reached by regular dedicated hygiene promotion_5]]/WWWW[[#This Row],[Total PoP ]]</f>
        <v>1</v>
      </c>
      <c r="CP27" s="404">
        <f>IF(WWWW[[#This Row],['#_of_affected_households_receiving_a_sufficient_quantity_of_soap]]/WWWW[[#This Row],[Total HH]]&gt;1,1,WWWW[[#This Row],['#_of_affected_households_receiving_a_sufficient_quantity_of_soap]]/WWWW[[#This Row],[Total HH]])</f>
        <v>1</v>
      </c>
      <c r="CQ27" s="401" t="str">
        <f>IF(WWWW[[#This Row],['#_students at TLS_CFS]]="","No","Yes")</f>
        <v>Yes</v>
      </c>
      <c r="CR27" s="399" t="str">
        <f>VLOOKUP(WWWW[[#This Row],[Site Name]],SiteDB6[[Site Name]:[CCCM Management]],6,FALSE)</f>
        <v>Yes</v>
      </c>
      <c r="CS27" s="399">
        <f>VLOOKUP(WWWW[[#This Row],[Site Name]],SiteDB6[[Site Name]:[CCCM Focal Agency]],7,FALSE)</f>
        <v>0</v>
      </c>
      <c r="CT27" s="399" t="str">
        <f>VLOOKUP(WWWW[[#This Row],[Site Name]],SiteDB6[[Site Name]:[Location Type 1]],9,FALSE)</f>
        <v>Camp</v>
      </c>
      <c r="CU27" s="399" t="str">
        <f>VLOOKUP(WWWW[[#This Row],[Site Name]],SiteDB6[[Site Name]:[Type of Accommodation]],10,FALSE)</f>
        <v>Planned Camp</v>
      </c>
      <c r="CV27" s="399" t="str">
        <f>VLOOKUP(WWWW[[#This Row],[Site Name]],SiteDB6[[Site Name]:[Ethnic or GCA/NGCA]],11,FALSE)</f>
        <v>Muslim</v>
      </c>
      <c r="CW27" s="399">
        <f>VLOOKUP(WWWW[[#This Row],[Site Name]],SiteDB6[[Site Name]:[Lat]],12,FALSE)</f>
        <v>20.064226000000001</v>
      </c>
      <c r="CX27" s="399">
        <f>VLOOKUP(WWWW[[#This Row],[Site Name]],SiteDB6[[Site Name]:[Long]],13,FALSE)</f>
        <v>92.993758999999997</v>
      </c>
      <c r="CY27" s="399" t="str">
        <f>VLOOKUP(WWWW[[#This Row],[Site Name]],SiteDB6[[Site Name]:[Pcode]],3,FALSE)</f>
        <v>MMR012CMP019</v>
      </c>
      <c r="CZ27" s="407" t="str">
        <f t="shared" si="0"/>
        <v>Covered</v>
      </c>
      <c r="DA27" s="407">
        <f>VLOOKUP(WWWW[[#This Row],[Site Name]],SiteDB6[[Site Name]:[PWD_Total]],22,FALSE)</f>
        <v>125</v>
      </c>
      <c r="DB27" s="407">
        <f>VLOOKUP(WWWW[[#This Row],[Site Name]],SiteDB6[[Site Name]:[PWD_Total]],23,FALSE)</f>
        <v>401</v>
      </c>
      <c r="DC27" s="407">
        <f>VLOOKUP(WWWW[[#This Row],[Site Name]],SiteDB6[[Site Name]:[PWD_Total]],24,FALSE)</f>
        <v>526</v>
      </c>
      <c r="DD27" s="407"/>
      <c r="DE27" s="33"/>
      <c r="DF27" s="33"/>
      <c r="DG27"/>
      <c r="DI27" s="37"/>
      <c r="DJ27" s="37"/>
      <c r="DK27" s="38"/>
      <c r="DL27" s="38"/>
      <c r="DT27" s="20"/>
      <c r="DU27" s="20"/>
    </row>
    <row r="28" spans="1:125">
      <c r="A28" s="394" t="s">
        <v>2388</v>
      </c>
      <c r="B28" s="394" t="s">
        <v>402</v>
      </c>
      <c r="C28" s="400" t="s">
        <v>402</v>
      </c>
      <c r="D28" s="400" t="s">
        <v>235</v>
      </c>
      <c r="E28" s="535" t="s">
        <v>2707</v>
      </c>
      <c r="F28" s="400" t="s">
        <v>403</v>
      </c>
      <c r="G28" s="535" t="str">
        <f>VLOOKUP(WWWW[[#This Row],[Site Name]],SiteDB6[[Site Name]:[Location Type]],8,FALSE)</f>
        <v>Camp</v>
      </c>
      <c r="H28" s="400" t="s">
        <v>404</v>
      </c>
      <c r="I28" s="402">
        <v>716</v>
      </c>
      <c r="J28" s="402">
        <v>2920</v>
      </c>
      <c r="K28" s="408">
        <v>43530</v>
      </c>
      <c r="L28" s="409">
        <v>43896</v>
      </c>
      <c r="M28" s="402">
        <v>920</v>
      </c>
      <c r="N28" s="402">
        <v>14</v>
      </c>
      <c r="O28" s="402">
        <v>20</v>
      </c>
      <c r="P28" s="402" t="s">
        <v>2676</v>
      </c>
      <c r="Q28" s="401" t="s">
        <v>42</v>
      </c>
      <c r="R28" s="402">
        <v>9</v>
      </c>
      <c r="S28" s="402">
        <v>9</v>
      </c>
      <c r="T28" s="402">
        <v>5</v>
      </c>
      <c r="U28" s="402">
        <v>6</v>
      </c>
      <c r="V28" s="592">
        <v>5505156</v>
      </c>
      <c r="W28" s="592">
        <v>8670000</v>
      </c>
      <c r="X28" s="402">
        <v>23</v>
      </c>
      <c r="Y28" s="402">
        <v>21</v>
      </c>
      <c r="Z28" s="402">
        <v>24</v>
      </c>
      <c r="AA28" s="402">
        <v>24</v>
      </c>
      <c r="AB28" s="402">
        <v>716</v>
      </c>
      <c r="AC28" s="402"/>
      <c r="AD28" s="402">
        <v>5</v>
      </c>
      <c r="AE28" s="637"/>
      <c r="AF28" s="402">
        <v>197</v>
      </c>
      <c r="AG28" s="402">
        <v>197</v>
      </c>
      <c r="AH28" s="402">
        <v>62</v>
      </c>
      <c r="AI28" s="404"/>
      <c r="AJ28" s="402">
        <v>267</v>
      </c>
      <c r="AK28" s="402"/>
      <c r="AL28" s="402"/>
      <c r="AM28" s="402"/>
      <c r="AN28" s="402"/>
      <c r="AO28" s="402">
        <v>31</v>
      </c>
      <c r="AP28" s="402">
        <v>114</v>
      </c>
      <c r="AQ28" s="402">
        <v>6</v>
      </c>
      <c r="AR28" s="402" t="s">
        <v>42</v>
      </c>
      <c r="AS28" s="650"/>
      <c r="AT28" s="402">
        <v>248</v>
      </c>
      <c r="AU28" s="402">
        <v>952</v>
      </c>
      <c r="AV28" s="402">
        <v>301</v>
      </c>
      <c r="AW28" s="402">
        <v>641</v>
      </c>
      <c r="AX28" s="402">
        <v>716</v>
      </c>
      <c r="AY28" s="402">
        <v>716</v>
      </c>
      <c r="AZ28" s="404">
        <v>0.86</v>
      </c>
      <c r="BA28" s="404">
        <v>0.94</v>
      </c>
      <c r="BB28" s="404">
        <v>0.75</v>
      </c>
      <c r="BC28" s="404">
        <v>0.2</v>
      </c>
      <c r="BD28" s="650"/>
      <c r="BE28" s="404">
        <v>0.95</v>
      </c>
      <c r="BF28" s="404">
        <v>0.77</v>
      </c>
      <c r="BG28" s="402">
        <v>287</v>
      </c>
      <c r="BH28" s="404">
        <v>1</v>
      </c>
      <c r="BI28" s="402"/>
      <c r="BJ28" s="399" t="s">
        <v>130</v>
      </c>
      <c r="BK28" s="650" t="s">
        <v>3104</v>
      </c>
      <c r="BL28" s="650" t="s">
        <v>3105</v>
      </c>
      <c r="BM28" s="405">
        <f>IFERROR(WWWW[[#This Row],['#_Water samples _passed_at_water source]]/WWWW[[#This Row],['#_Water samples_Tested_at_water_source]],"no test")</f>
        <v>0.91304347826086951</v>
      </c>
      <c r="BN28" s="404">
        <f>IFERROR(WWWW[[#This Row],['#_Water samples _passed_at_HH]]/WWWW[[#This Row],['#_Water samples_Tested_at_HH]],"no test")</f>
        <v>1</v>
      </c>
      <c r="BO28" s="403" t="str">
        <f>IF(AND(WWWW[[#This Row],[%of Water samples which passed at water source]]="no test",WWWW[[#This Row],[%Water samples which passed at HH]]="no test"),"No Test","Tested")</f>
        <v>Tested</v>
      </c>
      <c r="BP28"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8" s="401">
        <f>WWWW[[#This Row],[Access to safe/improved water through improved water sources]]*WWWW[[#This Row],[Total PoP ]]</f>
        <v>2920</v>
      </c>
      <c r="BR28" s="404">
        <f>IF((WWWW[[#This Row],['#_litres_of_water_stored_in_ponds]]/90/15)/WWWW[[#This Row],[Total PoP ]]&gt;1,1,(WWWW[[#This Row],['#_litres_of_water_stored_in_ponds]]/90/15)/WWWW[[#This Row],[Total PoP ]])</f>
        <v>1</v>
      </c>
      <c r="BS28" s="401">
        <f>WWWW[[#This Row],[% Access to unimproved water points]]*WWWW[[#This Row],[Total PoP ]]</f>
        <v>2920</v>
      </c>
      <c r="BT28" s="404">
        <f>IF(WWWW[[#This Row],[Access to safe/improved water through improved water sources]]+WWWW[[#This Row],[% Access to unimproved water points]]&gt;1,1,WWWW[[#This Row],[Access to safe/improved water through improved water sources]]+WWWW[[#This Row],[% Access to unimproved water points]])</f>
        <v>1</v>
      </c>
      <c r="BU28"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2920</v>
      </c>
      <c r="BV28" s="401">
        <f>WWWW[[#This Row],[HRP1]]/500</f>
        <v>5.84</v>
      </c>
      <c r="BW28" s="406">
        <f>1-WWWW[[#This Row],[% HRP1]]</f>
        <v>0</v>
      </c>
      <c r="BX28" s="401">
        <f>WWWW[[#This Row],[%equitable and continuous access to sufficient quantity of safe drinking and domestic water''s GAP]]*WWWW[[#This Row],[Total PoP ]]</f>
        <v>0</v>
      </c>
      <c r="BY28" s="403">
        <f>ROUND(IF(WWWW[[#This Row],[Total PoP ]]&lt;500,1,WWWW[[#This Row],[Total PoP ]]/500),0)</f>
        <v>6</v>
      </c>
      <c r="BZ28" s="403">
        <f>IF(WWWW[[#This Row],[Total required water points]]-WWWW[[#This Row],['#Water points coverage]]&lt;0,0,WWWW[[#This Row],[Total required water points]]-WWWW[[#This Row],['#Water points coverage]])</f>
        <v>0.16000000000000014</v>
      </c>
      <c r="CA28" s="404">
        <f>WWWW[[#This Row],[HRP2]]/WWWW[[#This Row],[Total PoP ]]</f>
        <v>1</v>
      </c>
      <c r="CB28"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2920</v>
      </c>
      <c r="CC28" s="403">
        <f>IF(WWWW[[#This Row],['#_of_latrines_in_TLS/CFS]]*50&gt;WWWW[[#This Row],['#_students at TLS_CFS]],WWWW[[#This Row],['#_students at TLS_CFS]],WWWW[[#This Row],['#_of_latrines_in_TLS/CFS]]*50)</f>
        <v>300</v>
      </c>
      <c r="CD28" s="403">
        <f>ROUND(IF(WWWW[[#This Row],[Location Type 1]]="camp",WWWW[[#This Row],[Total PoP ]]/20),0)</f>
        <v>146</v>
      </c>
      <c r="CE28" s="403">
        <f>IF(WWWW[[#This Row],[Total required Latrines]]-WWWW[[#This Row],['#_Existing_latrines]]&lt;0,0,WWWW[[#This Row],[Total required Latrines]]-WWWW[[#This Row],['#_Existing_latrines]])</f>
        <v>0</v>
      </c>
      <c r="CF28" s="72">
        <f>1-WWWW[[#This Row],[% HRP2]]</f>
        <v>0</v>
      </c>
      <c r="CG28" s="405">
        <f>IF(WWWW[[#This Row],['#_Existing_latrines]]="","NA",(WWWW[[#This Row],['#_Existing_latrines]]-WWWW[[#This Row],['#_Functional_adult_latrines]])/WWWW[[#This Row],['#_Existing_latrines]])</f>
        <v>0</v>
      </c>
      <c r="CH28"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2142</v>
      </c>
      <c r="CI28"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2920</v>
      </c>
      <c r="CJ28" s="403">
        <f>WWWW[[#This Row],['#_of_affected_women_and_girls_receiving_a_sufficient_quantity_of_sanitary_pads]]</f>
        <v>716</v>
      </c>
      <c r="CK28" s="403">
        <f>IF(WWWW[[#This Row],['# People with access to soap]]&gt;WWWW[[#This Row],['# People with access to Sanity Pads]],WWWW[[#This Row],['# People with access to soap]],WWWW[[#This Row],['# People with access to Sanity Pads]])</f>
        <v>2920</v>
      </c>
      <c r="CL28" s="403">
        <f>IF(WWWW[[#This Row],['# people reached by regular dedicated hygiene promotion_5]]&gt;WWWW[[#This Row],['# People received regular supply of hygiene items_6]],WWWW[[#This Row],['# people reached by regular dedicated hygiene promotion_5]],WWWW[[#This Row],['# People received regular supply of hygiene items_6]])</f>
        <v>2920</v>
      </c>
      <c r="CM28" s="406">
        <f>IF(WWWW[[#This Row],[HRP3]]/WWWW[[#This Row],[Total PoP ]]&gt;100%,100%,WWWW[[#This Row],[HRP3]]/WWWW[[#This Row],[Total PoP ]])</f>
        <v>1</v>
      </c>
      <c r="CN28" s="405">
        <f>1-WWWW[[#This Row],[Hygiene Coverage%]]</f>
        <v>0</v>
      </c>
      <c r="CO28" s="404">
        <f>WWWW[[#This Row],['# people reached by regular dedicated hygiene promotion_5]]/WWWW[[#This Row],[Total PoP ]]</f>
        <v>0.73356164383561639</v>
      </c>
      <c r="CP28" s="404">
        <f>IF(WWWW[[#This Row],['#_of_affected_households_receiving_a_sufficient_quantity_of_soap]]/WWWW[[#This Row],[Total HH]]&gt;1,1,WWWW[[#This Row],['#_of_affected_households_receiving_a_sufficient_quantity_of_soap]]/WWWW[[#This Row],[Total HH]])</f>
        <v>1</v>
      </c>
      <c r="CQ28" s="401" t="str">
        <f>IF(WWWW[[#This Row],['#_students at TLS_CFS]]="","No","Yes")</f>
        <v>Yes</v>
      </c>
      <c r="CR28" s="399" t="str">
        <f>VLOOKUP(WWWW[[#This Row],[Site Name]],SiteDB6[[Site Name]:[CCCM Management]],6,FALSE)</f>
        <v>Yes</v>
      </c>
      <c r="CS28" s="399">
        <f>VLOOKUP(WWWW[[#This Row],[Site Name]],SiteDB6[[Site Name]:[CCCM Focal Agency]],7,FALSE)</f>
        <v>0</v>
      </c>
      <c r="CT28" s="399" t="str">
        <f>VLOOKUP(WWWW[[#This Row],[Site Name]],SiteDB6[[Site Name]:[Location Type 1]],9,FALSE)</f>
        <v>Camp</v>
      </c>
      <c r="CU28" s="399" t="str">
        <f>VLOOKUP(WWWW[[#This Row],[Site Name]],SiteDB6[[Site Name]:[Type of Accommodation]],10,FALSE)</f>
        <v>Planned Camp</v>
      </c>
      <c r="CV28" s="399" t="str">
        <f>VLOOKUP(WWWW[[#This Row],[Site Name]],SiteDB6[[Site Name]:[Ethnic or GCA/NGCA]],11,FALSE)</f>
        <v>Muslim</v>
      </c>
      <c r="CW28" s="399">
        <f>VLOOKUP(WWWW[[#This Row],[Site Name]],SiteDB6[[Site Name]:[Lat]],12,FALSE)</f>
        <v>20.037655000000001</v>
      </c>
      <c r="CX28" s="399">
        <f>VLOOKUP(WWWW[[#This Row],[Site Name]],SiteDB6[[Site Name]:[Long]],13,FALSE)</f>
        <v>93.370037999999994</v>
      </c>
      <c r="CY28" s="399" t="str">
        <f>VLOOKUP(WWWW[[#This Row],[Site Name]],SiteDB6[[Site Name]:[Pcode]],3,FALSE)</f>
        <v>MMR012CMP014</v>
      </c>
      <c r="CZ28" s="407" t="str">
        <f t="shared" si="0"/>
        <v>Covered</v>
      </c>
      <c r="DA28" s="407">
        <f>VLOOKUP(WWWW[[#This Row],[Site Name]],SiteDB6[[Site Name]:[PWD_Total]],22,FALSE)</f>
        <v>54</v>
      </c>
      <c r="DB28" s="407">
        <f>VLOOKUP(WWWW[[#This Row],[Site Name]],SiteDB6[[Site Name]:[PWD_Total]],23,FALSE)</f>
        <v>319</v>
      </c>
      <c r="DC28" s="407">
        <f>VLOOKUP(WWWW[[#This Row],[Site Name]],SiteDB6[[Site Name]:[PWD_Total]],24,FALSE)</f>
        <v>373</v>
      </c>
      <c r="DD28" s="407"/>
      <c r="DE28" s="33"/>
      <c r="DF28" s="33"/>
      <c r="DG28"/>
      <c r="DI28" s="37"/>
      <c r="DJ28" s="37"/>
      <c r="DK28" s="38"/>
      <c r="DL28" s="38"/>
      <c r="DT28" s="20"/>
      <c r="DU28" s="20"/>
    </row>
    <row r="29" spans="1:125">
      <c r="A29" s="394" t="s">
        <v>2388</v>
      </c>
      <c r="B29" s="394" t="s">
        <v>2309</v>
      </c>
      <c r="C29" s="451" t="s">
        <v>2309</v>
      </c>
      <c r="D29" s="451" t="s">
        <v>41</v>
      </c>
      <c r="E29" s="535" t="s">
        <v>2707</v>
      </c>
      <c r="F29" s="400" t="s">
        <v>299</v>
      </c>
      <c r="G29" s="535" t="str">
        <f>VLOOKUP(WWWW[[#This Row],[Site Name]],SiteDB6[[Site Name]:[Location Type]],8,FALSE)</f>
        <v>Camp</v>
      </c>
      <c r="H29" s="400" t="s">
        <v>426</v>
      </c>
      <c r="I29" s="510">
        <v>1139</v>
      </c>
      <c r="J29" s="402">
        <v>6016</v>
      </c>
      <c r="K29" s="408"/>
      <c r="L29" s="409">
        <v>44104</v>
      </c>
      <c r="M29" s="402">
        <v>1094</v>
      </c>
      <c r="N29" s="592">
        <v>49</v>
      </c>
      <c r="O29" s="592">
        <f>115+60</f>
        <v>175</v>
      </c>
      <c r="P29" s="592">
        <v>0</v>
      </c>
      <c r="Q29" s="545" t="s">
        <v>130</v>
      </c>
      <c r="R29" s="592">
        <f>1+8</f>
        <v>9</v>
      </c>
      <c r="S29" s="592">
        <v>7</v>
      </c>
      <c r="T29" s="592">
        <v>36</v>
      </c>
      <c r="U29" s="592">
        <v>45</v>
      </c>
      <c r="V29" s="402"/>
      <c r="W29" s="402"/>
      <c r="X29" s="402"/>
      <c r="Y29" s="402"/>
      <c r="Z29" s="402"/>
      <c r="AA29" s="402"/>
      <c r="AB29" s="402"/>
      <c r="AC29" s="402"/>
      <c r="AD29" s="402"/>
      <c r="AE29" s="637"/>
      <c r="AF29" s="592">
        <v>201</v>
      </c>
      <c r="AG29" s="592">
        <v>243</v>
      </c>
      <c r="AH29" s="592">
        <v>17</v>
      </c>
      <c r="AI29" s="537">
        <v>0.86</v>
      </c>
      <c r="AJ29" s="592">
        <v>230</v>
      </c>
      <c r="AK29" s="537">
        <v>1</v>
      </c>
      <c r="AL29" s="537">
        <v>0.97</v>
      </c>
      <c r="AM29" s="537">
        <v>0.45</v>
      </c>
      <c r="AN29" s="537">
        <v>0.45</v>
      </c>
      <c r="AO29" s="402"/>
      <c r="AP29" s="402"/>
      <c r="AQ29" s="402"/>
      <c r="AR29" s="592" t="s">
        <v>42</v>
      </c>
      <c r="AS29" s="650"/>
      <c r="AT29" s="592">
        <v>115</v>
      </c>
      <c r="AU29" s="592">
        <v>414</v>
      </c>
      <c r="AV29" s="592">
        <v>321</v>
      </c>
      <c r="AW29" s="592">
        <v>332</v>
      </c>
      <c r="AX29" s="592">
        <v>1139</v>
      </c>
      <c r="AY29" s="592">
        <v>1745</v>
      </c>
      <c r="AZ29" s="402"/>
      <c r="BA29" s="402"/>
      <c r="BB29" s="402"/>
      <c r="BC29" s="404"/>
      <c r="BD29" s="650"/>
      <c r="BE29" s="537"/>
      <c r="BF29" s="537"/>
      <c r="BG29" s="402">
        <v>97</v>
      </c>
      <c r="BH29" s="537">
        <v>0.57999999999999996</v>
      </c>
      <c r="BI29" s="402"/>
      <c r="BJ29" s="399"/>
      <c r="BK29" s="650"/>
      <c r="BL29" s="650"/>
      <c r="BM29" s="405" t="str">
        <f>IFERROR(WWWW[[#This Row],['#_Water samples _passed_at_water source]]/WWWW[[#This Row],['#_Water samples_Tested_at_water_source]],"no test")</f>
        <v>no test</v>
      </c>
      <c r="BN29" s="404" t="str">
        <f>IFERROR(WWWW[[#This Row],['#_Water samples _passed_at_HH]]/WWWW[[#This Row],['#_Water samples_Tested_at_HH]],"no test")</f>
        <v>no test</v>
      </c>
      <c r="BO29" s="403" t="str">
        <f>IF(AND(WWWW[[#This Row],[%of Water samples which passed at water source]]="no test",WWWW[[#This Row],[%Water samples which passed at HH]]="no test"),"No Test","Tested")</f>
        <v>No Test</v>
      </c>
      <c r="BP29"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29" s="401">
        <f>WWWW[[#This Row],[Access to safe/improved water through improved water sources]]*WWWW[[#This Row],[Total PoP ]]</f>
        <v>6016</v>
      </c>
      <c r="BR29" s="404">
        <f>IF((WWWW[[#This Row],['#_litres_of_water_stored_in_ponds]]/90/15)/WWWW[[#This Row],[Total PoP ]]&gt;1,1,(WWWW[[#This Row],['#_litres_of_water_stored_in_ponds]]/90/15)/WWWW[[#This Row],[Total PoP ]])</f>
        <v>0</v>
      </c>
      <c r="BS29" s="401">
        <f>WWWW[[#This Row],[% Access to unimproved water points]]*WWWW[[#This Row],[Total PoP ]]</f>
        <v>0</v>
      </c>
      <c r="BT29" s="404">
        <f>IF(WWWW[[#This Row],[Access to safe/improved water through improved water sources]]+WWWW[[#This Row],[% Access to unimproved water points]]&gt;1,1,WWWW[[#This Row],[Access to safe/improved water through improved water sources]]+WWWW[[#This Row],[% Access to unimproved water points]])</f>
        <v>1</v>
      </c>
      <c r="BU29"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6016</v>
      </c>
      <c r="BV29" s="401">
        <f>WWWW[[#This Row],[HRP1]]/500</f>
        <v>12.032</v>
      </c>
      <c r="BW29" s="406">
        <f>1-WWWW[[#This Row],[% HRP1]]</f>
        <v>0</v>
      </c>
      <c r="BX29" s="401">
        <f>WWWW[[#This Row],[%equitable and continuous access to sufficient quantity of safe drinking and domestic water''s GAP]]*WWWW[[#This Row],[Total PoP ]]</f>
        <v>0</v>
      </c>
      <c r="BY29" s="403">
        <f>ROUND(IF(WWWW[[#This Row],[Total PoP ]]&lt;500,1,WWWW[[#This Row],[Total PoP ]]/500),0)</f>
        <v>12</v>
      </c>
      <c r="BZ29" s="403">
        <f>IF(WWWW[[#This Row],[Total required water points]]-WWWW[[#This Row],['#Water points coverage]]&lt;0,0,WWWW[[#This Row],[Total required water points]]-WWWW[[#This Row],['#Water points coverage]])</f>
        <v>0</v>
      </c>
      <c r="CA29" s="404">
        <f>WWWW[[#This Row],[HRP2]]/WWWW[[#This Row],[Total PoP ]]</f>
        <v>0.66821808510638303</v>
      </c>
      <c r="CB29"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4020</v>
      </c>
      <c r="CC29" s="403">
        <f>IF(WWWW[[#This Row],['#_of_latrines_in_TLS/CFS]]*50&gt;WWWW[[#This Row],['#_students at TLS_CFS]],WWWW[[#This Row],['#_students at TLS_CFS]],WWWW[[#This Row],['#_of_latrines_in_TLS/CFS]]*50)</f>
        <v>0</v>
      </c>
      <c r="CD29" s="403">
        <f>ROUND(IF(WWWW[[#This Row],[Location Type 1]]="camp",WWWW[[#This Row],[Total PoP ]]/20),0)</f>
        <v>301</v>
      </c>
      <c r="CE29" s="403">
        <f>IF(WWWW[[#This Row],[Total required Latrines]]-WWWW[[#This Row],['#_Existing_latrines]]&lt;0,0,WWWW[[#This Row],[Total required Latrines]]-WWWW[[#This Row],['#_Existing_latrines]])</f>
        <v>58</v>
      </c>
      <c r="CF29" s="72">
        <f>1-WWWW[[#This Row],[% HRP2]]</f>
        <v>0.33178191489361697</v>
      </c>
      <c r="CG29" s="405">
        <f>IF(WWWW[[#This Row],['#_Existing_latrines]]="","NA",(WWWW[[#This Row],['#_Existing_latrines]]-WWWW[[#This Row],['#_Functional_adult_latrines]])/WWWW[[#This Row],['#_Existing_latrines]])</f>
        <v>0.1728395061728395</v>
      </c>
      <c r="CH29"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1182</v>
      </c>
      <c r="CI29"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6016</v>
      </c>
      <c r="CJ29" s="403">
        <f>WWWW[[#This Row],['#_of_affected_women_and_girls_receiving_a_sufficient_quantity_of_sanitary_pads]]</f>
        <v>1745</v>
      </c>
      <c r="CK29" s="403">
        <f>IF(WWWW[[#This Row],['# People with access to soap]]&gt;WWWW[[#This Row],['# People with access to Sanity Pads]],WWWW[[#This Row],['# People with access to soap]],WWWW[[#This Row],['# People with access to Sanity Pads]])</f>
        <v>6016</v>
      </c>
      <c r="CL29" s="403">
        <f>IF(WWWW[[#This Row],['# people reached by regular dedicated hygiene promotion_5]]&gt;WWWW[[#This Row],['# People received regular supply of hygiene items_6]],WWWW[[#This Row],['# people reached by regular dedicated hygiene promotion_5]],WWWW[[#This Row],['# People received regular supply of hygiene items_6]])</f>
        <v>6016</v>
      </c>
      <c r="CM29" s="406">
        <f>IF(WWWW[[#This Row],[HRP3]]/WWWW[[#This Row],[Total PoP ]]&gt;100%,100%,WWWW[[#This Row],[HRP3]]/WWWW[[#This Row],[Total PoP ]])</f>
        <v>1</v>
      </c>
      <c r="CN29" s="405">
        <f>1-WWWW[[#This Row],[Hygiene Coverage%]]</f>
        <v>0</v>
      </c>
      <c r="CO29" s="404">
        <f>WWWW[[#This Row],['# people reached by regular dedicated hygiene promotion_5]]/WWWW[[#This Row],[Total PoP ]]</f>
        <v>0.19647606382978725</v>
      </c>
      <c r="CP29" s="404">
        <f>IF(WWWW[[#This Row],['#_of_affected_households_receiving_a_sufficient_quantity_of_soap]]/WWWW[[#This Row],[Total HH]]&gt;1,1,WWWW[[#This Row],['#_of_affected_households_receiving_a_sufficient_quantity_of_soap]]/WWWW[[#This Row],[Total HH]])</f>
        <v>1</v>
      </c>
      <c r="CQ29" s="401" t="str">
        <f>IF(WWWW[[#This Row],['#_students at TLS_CFS]]="","No","Yes")</f>
        <v>Yes</v>
      </c>
      <c r="CR29" s="399" t="str">
        <f>VLOOKUP(WWWW[[#This Row],[Site Name]],SiteDB6[[Site Name]:[CCCM Management]],6,FALSE)</f>
        <v>Yes</v>
      </c>
      <c r="CS29" s="399">
        <f>VLOOKUP(WWWW[[#This Row],[Site Name]],SiteDB6[[Site Name]:[CCCM Focal Agency]],7,FALSE)</f>
        <v>0</v>
      </c>
      <c r="CT29" s="399" t="str">
        <f>VLOOKUP(WWWW[[#This Row],[Site Name]],SiteDB6[[Site Name]:[Location Type 1]],9,FALSE)</f>
        <v>Camp</v>
      </c>
      <c r="CU29" s="399" t="str">
        <f>VLOOKUP(WWWW[[#This Row],[Site Name]],SiteDB6[[Site Name]:[Type of Accommodation]],10,FALSE)</f>
        <v>Self Settled Camp</v>
      </c>
      <c r="CV29" s="399" t="str">
        <f>VLOOKUP(WWWW[[#This Row],[Site Name]],SiteDB6[[Site Name]:[Ethnic or GCA/NGCA]],11,FALSE)</f>
        <v>Muslim</v>
      </c>
      <c r="CW29" s="399">
        <f>VLOOKUP(WWWW[[#This Row],[Site Name]],SiteDB6[[Site Name]:[Lat]],12,FALSE)</f>
        <v>20.1585</v>
      </c>
      <c r="CX29" s="399">
        <f>VLOOKUP(WWWW[[#This Row],[Site Name]],SiteDB6[[Site Name]:[Long]],13,FALSE)</f>
        <v>92.839416999999997</v>
      </c>
      <c r="CY29" s="399" t="str">
        <f>VLOOKUP(WWWW[[#This Row],[Site Name]],SiteDB6[[Site Name]:[Pcode]],3,FALSE)</f>
        <v>MMR012CMP046</v>
      </c>
      <c r="CZ29" s="407" t="str">
        <f t="shared" si="0"/>
        <v>Covered</v>
      </c>
      <c r="DA29" s="407">
        <f>VLOOKUP(WWWW[[#This Row],[Site Name]],SiteDB6[[Site Name]:[PWD_Total]],22,FALSE)</f>
        <v>283</v>
      </c>
      <c r="DB29" s="407">
        <f>VLOOKUP(WWWW[[#This Row],[Site Name]],SiteDB6[[Site Name]:[PWD_Total]],23,FALSE)</f>
        <v>715</v>
      </c>
      <c r="DC29" s="407">
        <f>VLOOKUP(WWWW[[#This Row],[Site Name]],SiteDB6[[Site Name]:[PWD_Total]],24,FALSE)</f>
        <v>998</v>
      </c>
      <c r="DD29" s="407"/>
      <c r="DE29" s="33"/>
      <c r="DF29" s="33"/>
      <c r="DG29"/>
      <c r="DI29" s="37"/>
      <c r="DJ29" s="37"/>
      <c r="DK29" s="38"/>
      <c r="DL29" s="38"/>
      <c r="DT29" s="20"/>
      <c r="DU29" s="20"/>
    </row>
    <row r="30" spans="1:125">
      <c r="A30" s="394" t="s">
        <v>2388</v>
      </c>
      <c r="B30" s="451" t="s">
        <v>2308</v>
      </c>
      <c r="C30" s="451" t="s">
        <v>2308</v>
      </c>
      <c r="D30" s="451" t="s">
        <v>41</v>
      </c>
      <c r="E30" s="535" t="s">
        <v>2707</v>
      </c>
      <c r="F30" s="400" t="s">
        <v>299</v>
      </c>
      <c r="G30" s="535" t="str">
        <f>VLOOKUP(WWWW[[#This Row],[Site Name]],SiteDB6[[Site Name]:[Location Type]],8,FALSE)</f>
        <v>Camp</v>
      </c>
      <c r="H30" s="400" t="s">
        <v>430</v>
      </c>
      <c r="I30" s="402">
        <v>1013</v>
      </c>
      <c r="J30" s="402">
        <v>5950</v>
      </c>
      <c r="K30" s="408"/>
      <c r="L30" s="409">
        <v>44104</v>
      </c>
      <c r="M30" s="592">
        <v>1558</v>
      </c>
      <c r="N30" s="592">
        <v>49</v>
      </c>
      <c r="O30" s="592">
        <v>115</v>
      </c>
      <c r="P30" s="592">
        <v>0</v>
      </c>
      <c r="Q30" s="545" t="s">
        <v>130</v>
      </c>
      <c r="R30" s="592">
        <v>9</v>
      </c>
      <c r="S30" s="592">
        <v>10</v>
      </c>
      <c r="T30" s="592">
        <v>53</v>
      </c>
      <c r="U30" s="592">
        <v>67</v>
      </c>
      <c r="V30" s="402"/>
      <c r="W30" s="402"/>
      <c r="X30" s="402"/>
      <c r="Y30" s="402"/>
      <c r="Z30" s="402"/>
      <c r="AA30" s="402"/>
      <c r="AB30" s="402"/>
      <c r="AC30" s="402"/>
      <c r="AD30" s="402">
        <v>6</v>
      </c>
      <c r="AE30" s="637"/>
      <c r="AF30" s="592">
        <v>210</v>
      </c>
      <c r="AG30" s="592">
        <v>360</v>
      </c>
      <c r="AH30" s="592">
        <v>13</v>
      </c>
      <c r="AI30" s="537">
        <v>0.17</v>
      </c>
      <c r="AJ30" s="592">
        <v>253</v>
      </c>
      <c r="AK30" s="537">
        <v>0.93</v>
      </c>
      <c r="AL30" s="537">
        <v>0.04</v>
      </c>
      <c r="AM30" s="537">
        <v>0.74</v>
      </c>
      <c r="AN30" s="537">
        <v>0.74</v>
      </c>
      <c r="AO30" s="402">
        <v>4</v>
      </c>
      <c r="AP30" s="402"/>
      <c r="AQ30" s="402">
        <v>15</v>
      </c>
      <c r="AR30" s="592" t="s">
        <v>42</v>
      </c>
      <c r="AS30" s="650"/>
      <c r="AT30" s="592">
        <v>472</v>
      </c>
      <c r="AU30" s="592">
        <v>1850</v>
      </c>
      <c r="AV30" s="592">
        <v>570</v>
      </c>
      <c r="AW30" s="592">
        <v>1367</v>
      </c>
      <c r="AX30" s="592">
        <v>1013</v>
      </c>
      <c r="AY30" s="592"/>
      <c r="AZ30" s="402"/>
      <c r="BA30" s="402"/>
      <c r="BB30" s="402"/>
      <c r="BC30" s="404">
        <v>0.53</v>
      </c>
      <c r="BD30" s="650"/>
      <c r="BE30" s="404"/>
      <c r="BF30" s="404"/>
      <c r="BG30" s="402"/>
      <c r="BH30" s="404"/>
      <c r="BI30" s="402"/>
      <c r="BJ30" s="399"/>
      <c r="BK30" s="650"/>
      <c r="BL30" s="650"/>
      <c r="BM30" s="405" t="str">
        <f>IFERROR(WWWW[[#This Row],['#_Water samples _passed_at_water source]]/WWWW[[#This Row],['#_Water samples_Tested_at_water_source]],"no test")</f>
        <v>no test</v>
      </c>
      <c r="BN30" s="404" t="str">
        <f>IFERROR(WWWW[[#This Row],['#_Water samples _passed_at_HH]]/WWWW[[#This Row],['#_Water samples_Tested_at_HH]],"no test")</f>
        <v>no test</v>
      </c>
      <c r="BO30" s="403" t="str">
        <f>IF(AND(WWWW[[#This Row],[%of Water samples which passed at water source]]="no test",WWWW[[#This Row],[%Water samples which passed at HH]]="no test"),"No Test","Tested")</f>
        <v>No Test</v>
      </c>
      <c r="BP30"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0" s="401">
        <f>WWWW[[#This Row],[Access to safe/improved water through improved water sources]]*WWWW[[#This Row],[Total PoP ]]</f>
        <v>5950</v>
      </c>
      <c r="BR30" s="404">
        <f>IF((WWWW[[#This Row],['#_litres_of_water_stored_in_ponds]]/90/15)/WWWW[[#This Row],[Total PoP ]]&gt;1,1,(WWWW[[#This Row],['#_litres_of_water_stored_in_ponds]]/90/15)/WWWW[[#This Row],[Total PoP ]])</f>
        <v>0</v>
      </c>
      <c r="BS30" s="401">
        <f>WWWW[[#This Row],[% Access to unimproved water points]]*WWWW[[#This Row],[Total PoP ]]</f>
        <v>0</v>
      </c>
      <c r="BT30" s="404">
        <f>IF(WWWW[[#This Row],[Access to safe/improved water through improved water sources]]+WWWW[[#This Row],[% Access to unimproved water points]]&gt;1,1,WWWW[[#This Row],[Access to safe/improved water through improved water sources]]+WWWW[[#This Row],[% Access to unimproved water points]])</f>
        <v>1</v>
      </c>
      <c r="BU30"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5950</v>
      </c>
      <c r="BV30" s="401">
        <f>WWWW[[#This Row],[HRP1]]/500</f>
        <v>11.9</v>
      </c>
      <c r="BW30" s="406">
        <f>1-WWWW[[#This Row],[% HRP1]]</f>
        <v>0</v>
      </c>
      <c r="BX30" s="401">
        <f>WWWW[[#This Row],[%equitable and continuous access to sufficient quantity of safe drinking and domestic water''s GAP]]*WWWW[[#This Row],[Total PoP ]]</f>
        <v>0</v>
      </c>
      <c r="BY30" s="403">
        <f>ROUND(IF(WWWW[[#This Row],[Total PoP ]]&lt;500,1,WWWW[[#This Row],[Total PoP ]]/500),0)</f>
        <v>12</v>
      </c>
      <c r="BZ30" s="403">
        <f>IF(WWWW[[#This Row],[Total required water points]]-WWWW[[#This Row],['#Water points coverage]]&lt;0,0,WWWW[[#This Row],[Total required water points]]-WWWW[[#This Row],['#Water points coverage]])</f>
        <v>9.9999999999999645E-2</v>
      </c>
      <c r="CA30" s="404">
        <f>WWWW[[#This Row],[HRP2]]/WWWW[[#This Row],[Total PoP ]]</f>
        <v>0.8453781512605042</v>
      </c>
      <c r="CB30"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5030</v>
      </c>
      <c r="CC30" s="403">
        <f>IF(WWWW[[#This Row],['#_of_latrines_in_TLS/CFS]]*50&gt;WWWW[[#This Row],['#_students at TLS_CFS]],WWWW[[#This Row],['#_students at TLS_CFS]],WWWW[[#This Row],['#_of_latrines_in_TLS/CFS]]*50)</f>
        <v>750</v>
      </c>
      <c r="CD30" s="403">
        <f>ROUND(IF(WWWW[[#This Row],[Location Type 1]]="camp",WWWW[[#This Row],[Total PoP ]]/20),0)</f>
        <v>298</v>
      </c>
      <c r="CE30" s="403">
        <f>IF(WWWW[[#This Row],[Total required Latrines]]-WWWW[[#This Row],['#_Existing_latrines]]&lt;0,0,WWWW[[#This Row],[Total required Latrines]]-WWWW[[#This Row],['#_Existing_latrines]])</f>
        <v>0</v>
      </c>
      <c r="CF30" s="72">
        <f>1-WWWW[[#This Row],[% HRP2]]</f>
        <v>0.1546218487394958</v>
      </c>
      <c r="CG30" s="405">
        <f>IF(WWWW[[#This Row],['#_Existing_latrines]]="","NA",(WWWW[[#This Row],['#_Existing_latrines]]-WWWW[[#This Row],['#_Functional_adult_latrines]])/WWWW[[#This Row],['#_Existing_latrines]])</f>
        <v>0.41666666666666669</v>
      </c>
      <c r="CH30"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4259</v>
      </c>
      <c r="CI30"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5950</v>
      </c>
      <c r="CJ30" s="403">
        <f>WWWW[[#This Row],['#_of_affected_women_and_girls_receiving_a_sufficient_quantity_of_sanitary_pads]]</f>
        <v>0</v>
      </c>
      <c r="CK30" s="403">
        <f>IF(WWWW[[#This Row],['# People with access to soap]]&gt;WWWW[[#This Row],['# People with access to Sanity Pads]],WWWW[[#This Row],['# People with access to soap]],WWWW[[#This Row],['# People with access to Sanity Pads]])</f>
        <v>5950</v>
      </c>
      <c r="CL30" s="403">
        <f>IF(WWWW[[#This Row],['# people reached by regular dedicated hygiene promotion_5]]&gt;WWWW[[#This Row],['# People received regular supply of hygiene items_6]],WWWW[[#This Row],['# people reached by regular dedicated hygiene promotion_5]],WWWW[[#This Row],['# People received regular supply of hygiene items_6]])</f>
        <v>5950</v>
      </c>
      <c r="CM30" s="406">
        <f>IF(WWWW[[#This Row],[HRP3]]/WWWW[[#This Row],[Total PoP ]]&gt;100%,100%,WWWW[[#This Row],[HRP3]]/WWWW[[#This Row],[Total PoP ]])</f>
        <v>1</v>
      </c>
      <c r="CN30" s="405">
        <f>1-WWWW[[#This Row],[Hygiene Coverage%]]</f>
        <v>0</v>
      </c>
      <c r="CO30" s="404">
        <f>WWWW[[#This Row],['# people reached by regular dedicated hygiene promotion_5]]/WWWW[[#This Row],[Total PoP ]]</f>
        <v>0.71579831932773108</v>
      </c>
      <c r="CP30" s="404">
        <f>IF(WWWW[[#This Row],['#_of_affected_households_receiving_a_sufficient_quantity_of_soap]]/WWWW[[#This Row],[Total HH]]&gt;1,1,WWWW[[#This Row],['#_of_affected_households_receiving_a_sufficient_quantity_of_soap]]/WWWW[[#This Row],[Total HH]])</f>
        <v>1</v>
      </c>
      <c r="CQ30" s="401" t="str">
        <f>IF(WWWW[[#This Row],['#_students at TLS_CFS]]="","No","Yes")</f>
        <v>Yes</v>
      </c>
      <c r="CR30" s="399" t="str">
        <f>VLOOKUP(WWWW[[#This Row],[Site Name]],SiteDB6[[Site Name]:[CCCM Management]],6,FALSE)</f>
        <v>Yes</v>
      </c>
      <c r="CS30" s="399">
        <f>VLOOKUP(WWWW[[#This Row],[Site Name]],SiteDB6[[Site Name]:[CCCM Focal Agency]],7,FALSE)</f>
        <v>0</v>
      </c>
      <c r="CT30" s="399" t="str">
        <f>VLOOKUP(WWWW[[#This Row],[Site Name]],SiteDB6[[Site Name]:[Location Type 1]],9,FALSE)</f>
        <v>Camp</v>
      </c>
      <c r="CU30" s="399" t="str">
        <f>VLOOKUP(WWWW[[#This Row],[Site Name]],SiteDB6[[Site Name]:[Type of Accommodation]],10,FALSE)</f>
        <v>Planned Camp</v>
      </c>
      <c r="CV30" s="399" t="str">
        <f>VLOOKUP(WWWW[[#This Row],[Site Name]],SiteDB6[[Site Name]:[Ethnic or GCA/NGCA]],11,FALSE)</f>
        <v>Muslim</v>
      </c>
      <c r="CW30" s="399">
        <f>VLOOKUP(WWWW[[#This Row],[Site Name]],SiteDB6[[Site Name]:[Lat]],12,FALSE)</f>
        <v>20.179939999999998</v>
      </c>
      <c r="CX30" s="399">
        <f>VLOOKUP(WWWW[[#This Row],[Site Name]],SiteDB6[[Site Name]:[Long]],13,FALSE)</f>
        <v>92.831879000000001</v>
      </c>
      <c r="CY30" s="399" t="str">
        <f>VLOOKUP(WWWW[[#This Row],[Site Name]],SiteDB6[[Site Name]:[Pcode]],3,FALSE)</f>
        <v>MMR012CMP048</v>
      </c>
      <c r="CZ30" s="407" t="str">
        <f t="shared" si="0"/>
        <v>Covered</v>
      </c>
      <c r="DA30" s="407">
        <f>VLOOKUP(WWWW[[#This Row],[Site Name]],SiteDB6[[Site Name]:[PWD_Total]],22,FALSE)</f>
        <v>111</v>
      </c>
      <c r="DB30" s="407">
        <f>VLOOKUP(WWWW[[#This Row],[Site Name]],SiteDB6[[Site Name]:[PWD_Total]],23,FALSE)</f>
        <v>853</v>
      </c>
      <c r="DC30" s="407">
        <f>VLOOKUP(WWWW[[#This Row],[Site Name]],SiteDB6[[Site Name]:[PWD_Total]],24,FALSE)</f>
        <v>964</v>
      </c>
      <c r="DD30" s="407"/>
      <c r="DE30" s="33"/>
      <c r="DF30" s="33"/>
      <c r="DG30"/>
      <c r="DI30" s="37"/>
      <c r="DJ30" s="37"/>
      <c r="DK30" s="38"/>
      <c r="DL30" s="38"/>
      <c r="DT30" s="20"/>
      <c r="DU30" s="20"/>
    </row>
    <row r="31" spans="1:125">
      <c r="A31" s="394" t="s">
        <v>2388</v>
      </c>
      <c r="B31" s="394" t="s">
        <v>2703</v>
      </c>
      <c r="C31" s="400" t="s">
        <v>2308</v>
      </c>
      <c r="D31" s="400" t="s">
        <v>41</v>
      </c>
      <c r="E31" s="535" t="s">
        <v>2707</v>
      </c>
      <c r="F31" s="400" t="s">
        <v>299</v>
      </c>
      <c r="G31" s="535" t="str">
        <f>VLOOKUP(WWWW[[#This Row],[Site Name]],SiteDB6[[Site Name]:[Location Type]],8,FALSE)</f>
        <v>Camp</v>
      </c>
      <c r="H31" s="400" t="s">
        <v>432</v>
      </c>
      <c r="I31" s="402">
        <v>299</v>
      </c>
      <c r="J31" s="402">
        <v>1670</v>
      </c>
      <c r="K31" s="408"/>
      <c r="L31" s="409">
        <v>44104</v>
      </c>
      <c r="M31" s="592">
        <v>870</v>
      </c>
      <c r="N31" s="402"/>
      <c r="O31" s="402"/>
      <c r="P31" s="402" t="s">
        <v>2676</v>
      </c>
      <c r="Q31" s="401"/>
      <c r="R31" s="592">
        <v>2</v>
      </c>
      <c r="S31" s="592">
        <v>7</v>
      </c>
      <c r="T31" s="402"/>
      <c r="U31" s="402"/>
      <c r="V31" s="402"/>
      <c r="W31" s="402"/>
      <c r="X31" s="592">
        <v>24</v>
      </c>
      <c r="Y31" s="592">
        <v>22</v>
      </c>
      <c r="Z31" s="592">
        <v>11</v>
      </c>
      <c r="AA31" s="592">
        <v>8</v>
      </c>
      <c r="AB31" s="402"/>
      <c r="AC31" s="402"/>
      <c r="AD31" s="402">
        <v>6</v>
      </c>
      <c r="AE31" s="637"/>
      <c r="AF31" s="402"/>
      <c r="AG31" s="402"/>
      <c r="AH31" s="402"/>
      <c r="AI31" s="404"/>
      <c r="AJ31" s="402"/>
      <c r="AK31" s="402"/>
      <c r="AL31" s="402"/>
      <c r="AM31" s="402"/>
      <c r="AN31" s="402"/>
      <c r="AO31" s="402"/>
      <c r="AP31" s="402"/>
      <c r="AQ31" s="402">
        <v>16</v>
      </c>
      <c r="AR31" s="592" t="s">
        <v>130</v>
      </c>
      <c r="AS31" s="650"/>
      <c r="AT31" s="592">
        <v>51</v>
      </c>
      <c r="AU31" s="592">
        <v>674</v>
      </c>
      <c r="AV31" s="592">
        <v>864</v>
      </c>
      <c r="AW31" s="592">
        <v>1200</v>
      </c>
      <c r="AX31" s="592">
        <v>299</v>
      </c>
      <c r="AY31" s="592"/>
      <c r="AZ31" s="402"/>
      <c r="BA31" s="402"/>
      <c r="BB31" s="402"/>
      <c r="BC31" s="404">
        <v>0.5</v>
      </c>
      <c r="BD31" s="650"/>
      <c r="BE31" s="404"/>
      <c r="BF31" s="404"/>
      <c r="BG31" s="402"/>
      <c r="BH31" s="404"/>
      <c r="BI31" s="402"/>
      <c r="BJ31" s="399"/>
      <c r="BK31" s="650"/>
      <c r="BL31" s="650"/>
      <c r="BM31" s="405">
        <f>IFERROR(WWWW[[#This Row],['#_Water samples _passed_at_water source]]/WWWW[[#This Row],['#_Water samples_Tested_at_water_source]],"no test")</f>
        <v>0.91666666666666663</v>
      </c>
      <c r="BN31" s="404">
        <f>IFERROR(WWWW[[#This Row],['#_Water samples _passed_at_HH]]/WWWW[[#This Row],['#_Water samples_Tested_at_HH]],"no test")</f>
        <v>0.72727272727272729</v>
      </c>
      <c r="BO31" s="403" t="str">
        <f>IF(AND(WWWW[[#This Row],[%of Water samples which passed at water source]]="no test",WWWW[[#This Row],[%Water samples which passed at HH]]="no test"),"No Test","Tested")</f>
        <v>Tested</v>
      </c>
      <c r="BP31" s="405">
        <f>IF(WWWW[[#This Row],[Total PoP ]]="","",IF(((WWWW[[#This Row],['#_Functional_improved_water_source]]*500)+(WWWW[[#This Row],['#_litres_of_water_supplied_by_existing_water_boating/trucking ]]/90/15)+(WWWW[[#This Row],['#_Functional_water_point_at_TLS/CFS]]*500))/WWWW[[#This Row],[Total PoP ]]&gt;1,1,((WWWW[[#This Row],['#_Functional_improved_water_source]]*500)+(WWWW[[#This Row],['#_litres_of_water_supplied_by_existing_water_boating/trucking ]]/90/15)+(WWWW[[#This Row],['#_Functional_water_point_at_TLS/CFS]]*500))/WWWW[[#This Row],[Total PoP ]]))</f>
        <v>1</v>
      </c>
      <c r="BQ31" s="401">
        <f>WWWW[[#This Row],[Access to safe/improved water through improved water sources]]*WWWW[[#This Row],[Total PoP ]]</f>
        <v>1670</v>
      </c>
      <c r="BR31" s="404">
        <f>IF((WWWW[[#This Row],['#_litres_of_water_stored_in_ponds]]/90/15)/WWWW[[#This Row],[Total PoP ]]&gt;1,1,(WWWW[[#This Row],['#_litres_of_water_stored_in_ponds]]/90/15)/WWWW[[#This Row],[Total PoP ]])</f>
        <v>0</v>
      </c>
      <c r="BS31" s="401">
        <f>WWWW[[#This Row],[% Access to unimproved water points]]*WWWW[[#This Row],[Total PoP ]]</f>
        <v>0</v>
      </c>
      <c r="BT31" s="404">
        <f>IF(WWWW[[#This Row],[Access to safe/improved water through improved water sources]]+WWWW[[#This Row],[% Access to unimproved water points]]&gt;1,1,WWWW[[#This Row],[Access to safe/improved water through improved water sources]]+WWWW[[#This Row],[% Access to unimproved water points]])</f>
        <v>1</v>
      </c>
      <c r="BU31" s="40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1670</v>
      </c>
      <c r="BV31" s="401">
        <f>WWWW[[#This Row],[HRP1]]/500</f>
        <v>3.34</v>
      </c>
      <c r="BW31" s="406">
        <f>1-WWWW[[#This Row],[% HRP1]]</f>
        <v>0</v>
      </c>
      <c r="BX31" s="401">
        <f>WWWW[[#This Row],[%equitable and continuous access to sufficient quantity of safe drinking and domestic water''s GAP]]*WWWW[[#This Row],[Total PoP ]]</f>
        <v>0</v>
      </c>
      <c r="BY31" s="403">
        <f>ROUND(IF(WWWW[[#This Row],[Total PoP ]]&lt;500,1,WWWW[[#This Row],[Total PoP ]]/500),0)</f>
        <v>3</v>
      </c>
      <c r="BZ31" s="403">
        <f>IF(WWWW[[#This Row],[Total required water points]]-WWWW[[#This Row],['#Water points coverage]]&lt;0,0,WWWW[[#This Row],[Total required water points]]-WWWW[[#This Row],['#Water points coverage]])</f>
        <v>0</v>
      </c>
      <c r="CA31" s="404">
        <f>WWWW[[#This Row],[HRP2]]/WWWW[[#This Row],[Total PoP ]]</f>
        <v>0.47904191616766467</v>
      </c>
      <c r="CB31" s="401">
        <f>IF(WWWW[[#This Row],[Total PoP ]]="",0,IF(((WWWW[[#This Row],['#_Functional_adult_latrines]]*20)+(WWWW[[#This Row],['#_of_functional_children_latrines]]*20)+WWWW[[#This Row],['#_of_PWD_with_adapted_sanitation_option]]+(WWWW[[#This Row],['#_of_latrines_in_TLS/CFS]]*50))&gt;WWWW[[#This Row],[Total PoP ]],WWWW[[#This Row],[Total PoP ]],((WWWW[[#This Row],['#_Functional_adult_latrines]]*20)+(WWWW[[#This Row],['#_of_functional_children_latrines]]*20)+WWWW[[#This Row],['#_of_PWD_with_adapted_sanitation_option]]+(WWWW[[#This Row],['#_of_latrines_in_TLS/CFS]]*50))))</f>
        <v>800</v>
      </c>
      <c r="CC31" s="403">
        <f>IF(WWWW[[#This Row],['#_of_latrines_in_TLS/CFS]]*50&gt;WWWW[[#This Row],['#_students at TLS_CFS]],WWWW[[#This Row],['#_students at TLS_CFS]],WWWW[[#This Row],['#_of_latrines_in_TLS/CFS]]*50)</f>
        <v>800</v>
      </c>
      <c r="CD31" s="403">
        <f>ROUND(IF(WWWW[[#This Row],[Location Type 1]]="camp",WWWW[[#This Row],[Total PoP ]]/20),0)</f>
        <v>84</v>
      </c>
      <c r="CE31" s="403">
        <f>IF(WWWW[[#This Row],[Total required Latrines]]-WWWW[[#This Row],['#_Existing_latrines]]&lt;0,0,WWWW[[#This Row],[Total required Latrines]]-WWWW[[#This Row],['#_Existing_latrines]])</f>
        <v>84</v>
      </c>
      <c r="CF31" s="72">
        <f>1-WWWW[[#This Row],[% HRP2]]</f>
        <v>0.52095808383233533</v>
      </c>
      <c r="CG31" s="405" t="str">
        <f>IF(WWWW[[#This Row],['#_Existing_latrines]]="","NA",(WWWW[[#This Row],['#_Existing_latrines]]-WWWW[[#This Row],['#_Functional_adult_latrines]])/WWWW[[#This Row],['#_Existing_latrines]])</f>
        <v>NA</v>
      </c>
      <c r="CH31" s="401">
        <f>IF(WWWW[[#This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Row],[_'#_of_Girls_receiving_consultation_hygiene_promotion_messages_and_sessions]]&gt;WWWW[[#This Row],[Total PoP ]],WWWW[[#This Row],[Total PoP ]],WWWW[[#This Row],[_'#_of_Men_receiving_consultation_hygiene_promotion_messages_and_sessions]]+WWWW[[#This Row],[_'#_of_Women_receiving_consultation_hygiene_promotion_messages_and_sessions]]+WWWW[[#This Row],[_'#_of_Boys_receiving_consultation_hygiene_promotion_messages_and_sessions]]+WWWW[[#This Row],[_'#_of_Girls_receiving_consultation_hygiene_promotion_messages_and_sessions]])</f>
        <v>1670</v>
      </c>
      <c r="CI31" s="403">
        <f>IF(WWWW[[#This Row],['#_of_affected_households_receiving_a_sufficient_quantity_of_soap]]&gt;=WWWW[[#This Row],[Total HH]],WWWW[[#This Row],[Total PoP ]],IF(WWWW[[#This Row],['#_of_affected_households_receiving_a_sufficient_quantity_of_soap]]*5&gt;WWWW[[#This Row],[Total PoP ]],WWWW[[#This Row],[Total PoP ]],WWWW[[#This Row],['#_of_affected_households_receiving_a_sufficient_quantity_of_soap]]*5))</f>
        <v>1670</v>
      </c>
      <c r="CJ31" s="403">
        <f>WWWW[[#This Row],['#_of_affected_women_and_girls_receiving_a_sufficient_quantity_of_sanitary_pads]]</f>
        <v>0</v>
      </c>
      <c r="CK31" s="403">
        <f>IF(WWWW[[#This Row],['# People with access to soap]]&gt;WWWW[[#This Row],['# People with access to Sanity Pads]],WWWW[[#This Row],['# People with access to soap]],WWWW[[#This Row],['# People with access to Sanity Pads]])</f>
        <v>1670</v>
      </c>
      <c r="CL31" s="403">
        <f>IF(WWWW[[#This Row],['# people reached by regular dedicated hygiene promotion_5]]&gt;WWWW[[#This Row],['# People received regular supply of hygiene items_6]],WWWW[[#This Row],['# people reached by regular dedicated hygiene promotion_5]],WWWW[[#This Row],['# People received regular supply of hygiene items_6]])</f>
        <v>1670</v>
      </c>
      <c r="CM31" s="406">
        <f>IF(WWWW[[#This Row],[HRP3]]/WWWW[[#This Row],[Total PoP ]]&gt;100%,100%,WWWW[[#This Row],[HRP3]]/WWWW[[#This Row],[Total PoP ]])</f>
        <v>1</v>
      </c>
      <c r="CN31" s="405">
        <f>1-WWWW[[#This Row],[Hygiene Coverage%]]</f>
        <v>0</v>
      </c>
      <c r="CO31" s="404">
        <f>WWWW[[#This Row],['# people reached by regular dedicated hygiene promotion_5]]/WWWW[[#This Row],[Total PoP ]]</f>
        <v>1</v>
      </c>
      <c r="CP31" s="404">
        <f>IF(WWWW[[#This Row],['#_of_affected_households_receiving_a_sufficient_quantity_of_soap]]/WWWW[[#This Row],[Total HH]]&gt;1,1,WWWW[[#This Row],['#_of_affected_households_receiving_a_sufficient_quantity_of_soap]]/WWWW[[#This Row],[Total HH]])</f>
        <v>1</v>
      </c>
      <c r="CQ31" s="401" t="str">
        <f>IF(WWWW[[#This Row],['#_students at TLS_CFS]]="","No","Yes")</f>
        <v>Yes</v>
      </c>
      <c r="CR31" s="399" t="str">
        <f>VLOOKUP(WWWW[[#This Row],[Site Name]],SiteDB6[[Site Name]:[CCCM Management]],6,FALSE)</f>
        <v>Yes</v>
      </c>
      <c r="CS31" s="399">
        <f>VLOOKUP(WWWW[[#This Row],[Site Name]],SiteDB6[[Site Name]:[CCCM Focal Agency]],7,FALSE)</f>
        <v>0</v>
      </c>
      <c r="CT31" s="399" t="str">
        <f>VLOOKUP(WWWW[[#This Row],[Site Name]],SiteDB6[[Site Name]:[Location Type 1]],9,FALSE)</f>
        <v>Camp</v>
      </c>
      <c r="CU31" s="399" t="str">
        <f>VLOOKUP(WWWW[[#This Row],[Site Name]],SiteDB6[[Site Name]:[Type of Accommodation]],10,FALSE)</f>
        <v>Host Families</v>
      </c>
      <c r="CV31" s="399" t="str">
        <f>VLOOKUP(WWWW[[#This Row],[Site Name]],SiteDB6[[Site Name]:[Ethnic or GCA/NGCA]],11,FALSE)</f>
        <v>Muslim</v>
      </c>
      <c r="CW31" s="399">
        <f>VLOOKUP(WWWW[[#This Row],[Site Name]],SiteDB6[[Site Name]:[Lat]],12,FALSE)</f>
        <v>20.181742</v>
      </c>
      <c r="CX31" s="399">
        <f>VLOOKUP(WWWW[[#This Row],[Site Name]],SiteDB6[[Site Name]:[Long]],13,FALSE)</f>
        <v>92.842230000000001</v>
      </c>
      <c r="CY31" s="399" t="str">
        <f>VLOOKUP(WWWW[[#This Row],[Site Name]],SiteDB6[[Site Name]:[Pcode]],3,FALSE)</f>
        <v>MMR012CMP091</v>
      </c>
      <c r="CZ31" s="407" t="str">
        <f t="shared" si="0"/>
        <v>Covered</v>
      </c>
      <c r="DA31" s="407">
        <f>VLOOKUP(WWWW[[#This Row],[Site Name]],SiteDB6[[Site Name]:[PWD_Total]],22,FALSE)</f>
        <v>0</v>
      </c>
      <c r="DB31" s="407">
        <f>VLOOKUP(WWWW[[#This Row],[Site Name]],SiteDB6[[Site Name]:[PWD_Total]],23,FALSE)</f>
        <v>0</v>
      </c>
      <c r="DC31" s="407">
        <f>VLOOKUP(WWWW[[#This Row],[Site Name]],SiteDB6[[Site Name]:[PWD_Total]],24,FALSE)</f>
        <v>0</v>
      </c>
      <c r="DD31" s="407"/>
      <c r="DE31" s="33"/>
      <c r="DF31" s="33"/>
      <c r="DG31"/>
      <c r="DI31" s="37"/>
      <c r="DJ31" s="37"/>
      <c r="DK31" s="38"/>
      <c r="DL31" s="38"/>
      <c r="DT31" s="20"/>
      <c r="DU31" s="20"/>
    </row>
    <row r="33" spans="22:23">
      <c r="W33" s="753"/>
    </row>
    <row r="36" spans="22:23">
      <c r="V36" s="717"/>
      <c r="W36" s="717"/>
    </row>
    <row r="37" spans="22:23">
      <c r="V37" s="717"/>
      <c r="W37" s="719"/>
    </row>
    <row r="38" spans="22:23">
      <c r="V38" s="718"/>
    </row>
    <row r="39" spans="22:23">
      <c r="V39" s="718"/>
    </row>
  </sheetData>
  <mergeCells count="17">
    <mergeCell ref="BT2:BT3"/>
    <mergeCell ref="BU2:BU3"/>
    <mergeCell ref="BM5:BO5"/>
    <mergeCell ref="BW5:BX5"/>
    <mergeCell ref="K1:L1"/>
    <mergeCell ref="BM2:BO3"/>
    <mergeCell ref="BP2:BP3"/>
    <mergeCell ref="BQ2:BQ3"/>
    <mergeCell ref="BR2:BS3"/>
    <mergeCell ref="CG2:CG3"/>
    <mergeCell ref="CD2:CD3"/>
    <mergeCell ref="CE2:CF3"/>
    <mergeCell ref="BV2:BV3"/>
    <mergeCell ref="CC2:CC3"/>
    <mergeCell ref="CB2:CB3"/>
    <mergeCell ref="BW2:BX3"/>
    <mergeCell ref="BY2:BZ2"/>
  </mergeCells>
  <conditionalFormatting sqref="CN2 CH2">
    <cfRule type="iconSet" priority="170">
      <iconSet reverse="1">
        <cfvo type="percent" val="0"/>
        <cfvo type="percent" val="0" gte="0"/>
        <cfvo type="percent" val="30"/>
      </iconSet>
    </cfRule>
  </conditionalFormatting>
  <conditionalFormatting sqref="DJ7:DJ31 DL32:DL1048576">
    <cfRule type="iconSet" priority="11617">
      <iconSet reverse="1">
        <cfvo type="percent" val="0"/>
        <cfvo type="percent" val="0" gte="0"/>
        <cfvo type="percent" val="30"/>
      </iconSet>
    </cfRule>
  </conditionalFormatting>
  <conditionalFormatting sqref="CH5">
    <cfRule type="iconSet" priority="18">
      <iconSet reverse="1">
        <cfvo type="percent" val="0"/>
        <cfvo type="percent" val="0" gte="0"/>
        <cfvo type="percent" val="30"/>
      </iconSet>
    </cfRule>
  </conditionalFormatting>
  <conditionalFormatting sqref="CN4">
    <cfRule type="iconSet" priority="15">
      <iconSet reverse="1">
        <cfvo type="percent" val="0"/>
        <cfvo type="percent" val="0" gte="0"/>
        <cfvo type="percent" val="30"/>
      </iconSet>
    </cfRule>
  </conditionalFormatting>
  <conditionalFormatting sqref="BW4">
    <cfRule type="iconSet" priority="17">
      <iconSet reverse="1">
        <cfvo type="percent" val="0"/>
        <cfvo type="percent" val="0" gte="0"/>
        <cfvo type="percent" val="30"/>
      </iconSet>
    </cfRule>
  </conditionalFormatting>
  <conditionalFormatting sqref="CN3">
    <cfRule type="iconSet" priority="12">
      <iconSet reverse="1">
        <cfvo type="percent" val="0"/>
        <cfvo type="percent" val="0" gte="0"/>
        <cfvo type="percent" val="30"/>
      </iconSet>
    </cfRule>
  </conditionalFormatting>
  <conditionalFormatting sqref="CF4">
    <cfRule type="iconSet" priority="11706">
      <iconSet reverse="1">
        <cfvo type="percent" val="0"/>
        <cfvo type="percent" val="0" gte="0"/>
        <cfvo type="percent" val="30"/>
      </iconSet>
    </cfRule>
  </conditionalFormatting>
  <conditionalFormatting sqref="CG5 CC5">
    <cfRule type="iconSet" priority="11726">
      <iconSet reverse="1">
        <cfvo type="percent" val="0"/>
        <cfvo type="percent" val="0" gte="0"/>
        <cfvo type="percent" val="10"/>
      </iconSet>
    </cfRule>
  </conditionalFormatting>
  <conditionalFormatting sqref="BX4">
    <cfRule type="iconSet" priority="8">
      <iconSet reverse="1">
        <cfvo type="percent" val="0"/>
        <cfvo type="percent" val="0" gte="0"/>
        <cfvo type="percent" val="30"/>
      </iconSet>
    </cfRule>
  </conditionalFormatting>
  <conditionalFormatting sqref="H7:H31">
    <cfRule type="duplicateValues" dxfId="839" priority="12163"/>
  </conditionalFormatting>
  <conditionalFormatting sqref="CF7:CF31">
    <cfRule type="iconSet" priority="12164">
      <iconSet reverse="1">
        <cfvo type="percent" val="0"/>
        <cfvo type="percent" val="0" gte="0"/>
        <cfvo type="percent" val="30"/>
      </iconSet>
    </cfRule>
  </conditionalFormatting>
  <conditionalFormatting sqref="BY4">
    <cfRule type="iconSet" priority="4">
      <iconSet reverse="1">
        <cfvo type="percent" val="0"/>
        <cfvo type="percent" val="0" gte="0"/>
        <cfvo type="percent" val="30"/>
      </iconSet>
    </cfRule>
  </conditionalFormatting>
  <conditionalFormatting sqref="BZ4">
    <cfRule type="iconSet" priority="3">
      <iconSet reverse="1">
        <cfvo type="percent" val="0"/>
        <cfvo type="percent" val="0" gte="0"/>
        <cfvo type="percent" val="30"/>
      </iconSet>
    </cfRule>
  </conditionalFormatting>
  <conditionalFormatting sqref="BW7:BW31">
    <cfRule type="iconSet" priority="2">
      <iconSet reverse="1">
        <cfvo type="percent" val="0"/>
        <cfvo type="percent" val="0" gte="0"/>
        <cfvo type="percent" val="30"/>
      </iconSet>
    </cfRule>
  </conditionalFormatting>
  <conditionalFormatting sqref="CN7:CN31">
    <cfRule type="iconSet" priority="1">
      <iconSet reverse="1">
        <cfvo type="percent" val="0"/>
        <cfvo type="percent" val="0" gte="0"/>
        <cfvo type="percent" val="30"/>
      </iconSet>
    </cfRule>
  </conditionalFormatting>
  <dataValidations count="8">
    <dataValidation type="whole" operator="lessThan" allowBlank="1" showInputMessage="1" showErrorMessage="1" sqref="R7:S31 M7:P31" xr:uid="{00000000-0002-0000-0200-000005000000}">
      <formula1>999999</formula1>
    </dataValidation>
    <dataValidation type="list" allowBlank="1" showInputMessage="1" showErrorMessage="1" sqref="C32:C1048576 E32:F1048576 H32:H1048576 K32:K1048576" xr:uid="{00000000-0002-0000-0200-000000000000}">
      <formula1>#REF!</formula1>
    </dataValidation>
    <dataValidation type="list" allowBlank="1" showInputMessage="1" showErrorMessage="1" sqref="AR7:AR31 Q7:Q31 BJ7:BJ31" xr:uid="{00000000-0002-0000-0200-000003000000}">
      <formula1>"Yes,No"</formula1>
    </dataValidation>
    <dataValidation type="list" allowBlank="1" showInputMessage="1" showErrorMessage="1" sqref="E7:E31" xr:uid="{00000000-0002-0000-0200-000001000000}">
      <formula1>"Kachin, Central Rakhine, Northern Rakhine, Shan (North)"</formula1>
    </dataValidation>
    <dataValidation type="list" allowBlank="1" showInputMessage="1" showErrorMessage="1" sqref="CZ7:CZ31" xr:uid="{00000000-0002-0000-0200-000002000000}">
      <formula1>"Covered, Not_covered"</formula1>
    </dataValidation>
    <dataValidation type="whole" allowBlank="1" showInputMessage="1" showErrorMessage="1" sqref="AT7:AY31 AF7:AH31 X7:AD31 V29:W31 T7:U31 V7:W27 AO7:AQ31 AJ7:AJ31 BG7 BG16:BG31" xr:uid="{80C2E29D-2256-4657-88F5-332E690081BA}">
      <formula1>0</formula1>
      <formula2>100000</formula2>
    </dataValidation>
    <dataValidation type="list" allowBlank="1" showInputMessage="1" showErrorMessage="1" sqref="H7:H31" xr:uid="{00000000-0002-0000-0200-000004000000}">
      <formula1>OFFSET(Township_start,MATCH(F7,Township_list, 0),1, COUNTIF(Township_list,F7),1)</formula1>
    </dataValidation>
    <dataValidation type="list" allowBlank="1" showInputMessage="1" showErrorMessage="1" sqref="F7:F31" xr:uid="{00000000-0002-0000-0200-00000B000000}">
      <formula1>OFFSET(Statestart_1,MATCH(E7, State_list, 0), 1,COUNTIF(State_list,E7),1)</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C000000}">
          <x14:formula1>
            <xm:f>Lookup!$B$4:$B$60</xm:f>
          </x14:formula1>
          <xm:sqref>B7:C31</xm:sqref>
        </x14:dataValidation>
        <x14:dataValidation type="list" allowBlank="1" showInputMessage="1" showErrorMessage="1" xr:uid="{00000000-0002-0000-0200-00000E000000}">
          <x14:formula1>
            <xm:f>Lookup!$A$4:$A$7</xm:f>
          </x14:formula1>
          <xm:sqref>A7:A31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111"/>
  <sheetViews>
    <sheetView zoomScale="110" zoomScaleNormal="110" workbookViewId="0">
      <pane xSplit="1" ySplit="2" topLeftCell="B1078" activePane="bottomRight" state="frozen"/>
      <selection activeCell="E391" sqref="E391"/>
      <selection pane="topRight" activeCell="E391" sqref="E391"/>
      <selection pane="bottomLeft" activeCell="E391" sqref="E391"/>
      <selection pane="bottomRight" activeCell="Z3" sqref="Z3:Z1111"/>
    </sheetView>
  </sheetViews>
  <sheetFormatPr defaultColWidth="9" defaultRowHeight="14.25" customHeight="1"/>
  <cols>
    <col min="1" max="1" width="13.125" bestFit="1" customWidth="1"/>
    <col min="2" max="2" width="17" style="17" customWidth="1"/>
    <col min="3" max="3" width="37" style="102" bestFit="1" customWidth="1"/>
    <col min="4" max="4" width="16.5" style="44" hidden="1" customWidth="1"/>
    <col min="5" max="7" width="19.5" style="17" hidden="1" customWidth="1"/>
    <col min="8" max="8" width="13.25" style="17" hidden="1" customWidth="1"/>
    <col min="9" max="9" width="16.375" style="17" hidden="1" customWidth="1"/>
    <col min="10" max="10" width="11.25" style="17" customWidth="1"/>
    <col min="11" max="11" width="7.75" style="17" customWidth="1"/>
    <col min="12" max="12" width="12.75" style="17" hidden="1" customWidth="1"/>
    <col min="13" max="13" width="14.875" style="17" hidden="1" customWidth="1"/>
    <col min="14" max="14" width="15" style="17" hidden="1" customWidth="1"/>
    <col min="15" max="15" width="8.5" style="17" hidden="1" customWidth="1"/>
    <col min="16" max="17" width="7.75" style="17" hidden="1" customWidth="1"/>
    <col min="18" max="18" width="18.25" style="17" hidden="1" customWidth="1"/>
    <col min="19" max="20" width="10.5" style="17" hidden="1" customWidth="1"/>
    <col min="21" max="21" width="10.125" style="43" hidden="1" customWidth="1"/>
    <col min="22" max="22" width="0" hidden="1" customWidth="1"/>
    <col min="23" max="23" width="12.125" style="104" hidden="1" customWidth="1"/>
    <col min="24" max="24" width="10.625" style="45" bestFit="1" customWidth="1"/>
    <col min="25" max="25" width="16.625" style="17" customWidth="1"/>
    <col min="26" max="26" width="9" style="103"/>
    <col min="27" max="16384" width="9" style="17"/>
  </cols>
  <sheetData>
    <row r="1" spans="1:26" ht="14.25" customHeight="1">
      <c r="A1" s="533"/>
      <c r="C1" s="555"/>
      <c r="V1" s="533"/>
    </row>
    <row r="2" spans="1:26" ht="14.25" customHeight="1">
      <c r="A2" s="17" t="s">
        <v>22</v>
      </c>
      <c r="B2" s="17" t="s">
        <v>23</v>
      </c>
      <c r="C2" s="71" t="s">
        <v>24</v>
      </c>
      <c r="D2" s="17" t="s">
        <v>1651</v>
      </c>
      <c r="E2" s="17" t="s">
        <v>34</v>
      </c>
      <c r="F2" s="17" t="s">
        <v>1652</v>
      </c>
      <c r="G2" s="17" t="s">
        <v>1653</v>
      </c>
      <c r="H2" s="17" t="s">
        <v>28</v>
      </c>
      <c r="I2" s="17" t="s">
        <v>29</v>
      </c>
      <c r="J2" s="17" t="s">
        <v>128</v>
      </c>
      <c r="K2" s="17" t="s">
        <v>129</v>
      </c>
      <c r="L2" s="17" t="s">
        <v>754</v>
      </c>
      <c r="M2" s="17" t="s">
        <v>31</v>
      </c>
      <c r="N2" s="17" t="s">
        <v>32</v>
      </c>
      <c r="O2" s="17" t="s">
        <v>33</v>
      </c>
      <c r="P2" s="17" t="s">
        <v>755</v>
      </c>
      <c r="Q2" s="17" t="s">
        <v>756</v>
      </c>
      <c r="R2" s="69" t="s">
        <v>2785</v>
      </c>
      <c r="S2" s="69" t="s">
        <v>2786</v>
      </c>
      <c r="T2" s="104" t="s">
        <v>757</v>
      </c>
      <c r="U2" s="45" t="s">
        <v>36</v>
      </c>
      <c r="V2" s="17" t="s">
        <v>758</v>
      </c>
      <c r="W2" s="17" t="s">
        <v>2234</v>
      </c>
      <c r="X2" s="17" t="s">
        <v>3107</v>
      </c>
      <c r="Y2" s="17" t="s">
        <v>3108</v>
      </c>
      <c r="Z2" s="17" t="s">
        <v>3109</v>
      </c>
    </row>
    <row r="3" spans="1:26" s="71" customFormat="1" ht="14.25" customHeight="1">
      <c r="A3" s="423" t="s">
        <v>2707</v>
      </c>
      <c r="B3" s="198" t="s">
        <v>361</v>
      </c>
      <c r="C3" s="199" t="s">
        <v>2767</v>
      </c>
      <c r="D3" s="421" t="s">
        <v>1654</v>
      </c>
      <c r="E3" s="450">
        <v>198645</v>
      </c>
      <c r="F3" s="194"/>
      <c r="G3" s="194"/>
      <c r="H3" s="194"/>
      <c r="I3" s="194"/>
      <c r="J3" s="194" t="s">
        <v>798</v>
      </c>
      <c r="K3" s="194" t="s">
        <v>798</v>
      </c>
      <c r="L3" s="194" t="s">
        <v>798</v>
      </c>
      <c r="M3" s="194" t="s">
        <v>298</v>
      </c>
      <c r="N3" s="194">
        <v>19.18421936</v>
      </c>
      <c r="O3" s="194">
        <v>93.699806210000006</v>
      </c>
      <c r="P3" s="194" t="s">
        <v>799</v>
      </c>
      <c r="Q3" s="194" t="s">
        <v>780</v>
      </c>
      <c r="R3" s="195"/>
      <c r="S3" s="193"/>
      <c r="T3" s="196"/>
      <c r="U3" s="197"/>
      <c r="V3" s="194" t="s">
        <v>364</v>
      </c>
      <c r="W3" s="422"/>
      <c r="X3" s="542"/>
      <c r="Y3" s="542"/>
      <c r="Z3" s="542"/>
    </row>
    <row r="4" spans="1:26" s="71" customFormat="1" ht="14.25" customHeight="1">
      <c r="A4" s="423" t="s">
        <v>2707</v>
      </c>
      <c r="B4" s="206" t="s">
        <v>361</v>
      </c>
      <c r="C4" s="207" t="s">
        <v>366</v>
      </c>
      <c r="D4" s="421" t="s">
        <v>1654</v>
      </c>
      <c r="E4" s="202">
        <v>198647</v>
      </c>
      <c r="F4" s="202"/>
      <c r="G4" s="202"/>
      <c r="H4" s="202"/>
      <c r="I4" s="202"/>
      <c r="J4" s="202" t="s">
        <v>798</v>
      </c>
      <c r="K4" s="202" t="s">
        <v>798</v>
      </c>
      <c r="L4" s="202" t="s">
        <v>798</v>
      </c>
      <c r="M4" s="202" t="s">
        <v>298</v>
      </c>
      <c r="N4" s="202">
        <v>19.18943977</v>
      </c>
      <c r="O4" s="202">
        <v>93.733673100000004</v>
      </c>
      <c r="P4" s="202" t="s">
        <v>799</v>
      </c>
      <c r="Q4" s="202" t="s">
        <v>780</v>
      </c>
      <c r="R4" s="203"/>
      <c r="S4" s="201"/>
      <c r="T4" s="204"/>
      <c r="U4" s="205"/>
      <c r="V4" s="202" t="s">
        <v>366</v>
      </c>
      <c r="W4" s="422"/>
      <c r="X4" s="542"/>
      <c r="Y4" s="542"/>
      <c r="Z4" s="542"/>
    </row>
    <row r="5" spans="1:26" s="71" customFormat="1" ht="14.25" customHeight="1">
      <c r="A5" s="423" t="s">
        <v>2707</v>
      </c>
      <c r="B5" s="198" t="s">
        <v>361</v>
      </c>
      <c r="C5" s="199" t="s">
        <v>2596</v>
      </c>
      <c r="D5" s="421"/>
      <c r="E5" s="194">
        <v>198667</v>
      </c>
      <c r="F5" s="194"/>
      <c r="G5" s="194"/>
      <c r="H5" s="194"/>
      <c r="I5" s="194"/>
      <c r="J5" s="194" t="s">
        <v>798</v>
      </c>
      <c r="K5" s="194" t="s">
        <v>798</v>
      </c>
      <c r="L5" s="194" t="s">
        <v>798</v>
      </c>
      <c r="M5" s="194" t="s">
        <v>298</v>
      </c>
      <c r="N5" s="194"/>
      <c r="O5" s="194"/>
      <c r="P5" s="194"/>
      <c r="Q5" s="194"/>
      <c r="R5" s="195"/>
      <c r="S5" s="193"/>
      <c r="T5" s="196"/>
      <c r="U5" s="197"/>
      <c r="V5" s="194"/>
      <c r="W5" s="422"/>
      <c r="X5" s="542"/>
      <c r="Y5" s="542"/>
      <c r="Z5" s="542"/>
    </row>
    <row r="6" spans="1:26" s="71" customFormat="1" ht="14.25" customHeight="1">
      <c r="A6" s="423" t="s">
        <v>2707</v>
      </c>
      <c r="B6" s="419" t="s">
        <v>361</v>
      </c>
      <c r="C6" s="71" t="s">
        <v>371</v>
      </c>
      <c r="D6" s="472" t="s">
        <v>2313</v>
      </c>
      <c r="E6" s="71" t="s">
        <v>1336</v>
      </c>
      <c r="F6" s="71" t="s">
        <v>1733</v>
      </c>
      <c r="G6" s="71" t="s">
        <v>371</v>
      </c>
      <c r="H6" s="71" t="s">
        <v>42</v>
      </c>
      <c r="J6" s="71" t="s">
        <v>798</v>
      </c>
      <c r="K6" s="71" t="s">
        <v>798</v>
      </c>
      <c r="L6" s="71" t="s">
        <v>821</v>
      </c>
      <c r="M6" s="71" t="s">
        <v>298</v>
      </c>
      <c r="N6" s="71">
        <v>19.421102000000001</v>
      </c>
      <c r="O6" s="71">
        <v>93.552452000000002</v>
      </c>
      <c r="P6" s="71" t="s">
        <v>799</v>
      </c>
      <c r="Q6" s="71" t="s">
        <v>780</v>
      </c>
      <c r="R6" s="99">
        <v>65</v>
      </c>
      <c r="S6" s="100">
        <v>327</v>
      </c>
      <c r="T6" s="105"/>
      <c r="U6" s="101"/>
      <c r="V6" s="71" t="s">
        <v>371</v>
      </c>
      <c r="W6" s="419"/>
      <c r="X6" s="542"/>
      <c r="Y6" s="542"/>
      <c r="Z6" s="542"/>
    </row>
    <row r="7" spans="1:26" s="71" customFormat="1" ht="14.25" customHeight="1">
      <c r="A7" s="423" t="s">
        <v>2707</v>
      </c>
      <c r="B7" s="419" t="s">
        <v>361</v>
      </c>
      <c r="C7" s="71" t="s">
        <v>2593</v>
      </c>
      <c r="D7" s="472"/>
      <c r="E7" s="71">
        <v>198475</v>
      </c>
      <c r="J7" s="71" t="s">
        <v>798</v>
      </c>
      <c r="K7" s="71" t="s">
        <v>798</v>
      </c>
      <c r="L7" s="194" t="s">
        <v>798</v>
      </c>
      <c r="M7" s="71" t="s">
        <v>298</v>
      </c>
      <c r="R7" s="99"/>
      <c r="S7" s="423"/>
      <c r="T7" s="105"/>
      <c r="U7" s="101"/>
      <c r="X7" s="542"/>
      <c r="Y7" s="542"/>
      <c r="Z7" s="542"/>
    </row>
    <row r="8" spans="1:26" s="71" customFormat="1" ht="14.25" customHeight="1">
      <c r="A8" s="423" t="s">
        <v>2707</v>
      </c>
      <c r="B8" s="419" t="s">
        <v>361</v>
      </c>
      <c r="C8" s="71" t="s">
        <v>363</v>
      </c>
      <c r="D8" s="472" t="s">
        <v>1654</v>
      </c>
      <c r="E8" s="71">
        <v>198611</v>
      </c>
      <c r="J8" s="71" t="s">
        <v>798</v>
      </c>
      <c r="K8" s="71" t="s">
        <v>798</v>
      </c>
      <c r="L8" s="71" t="s">
        <v>798</v>
      </c>
      <c r="M8" s="71" t="s">
        <v>298</v>
      </c>
      <c r="N8" s="71">
        <v>19.17564964</v>
      </c>
      <c r="O8" s="71">
        <v>93.596443179999994</v>
      </c>
      <c r="P8" s="71" t="s">
        <v>799</v>
      </c>
      <c r="Q8" s="71" t="s">
        <v>780</v>
      </c>
      <c r="R8" s="99"/>
      <c r="S8" s="100"/>
      <c r="T8" s="105"/>
      <c r="U8" s="101"/>
      <c r="V8" s="71" t="s">
        <v>363</v>
      </c>
      <c r="X8" s="542"/>
      <c r="Y8" s="542"/>
      <c r="Z8" s="542"/>
    </row>
    <row r="9" spans="1:26" s="71" customFormat="1" ht="14.25" customHeight="1">
      <c r="A9" s="423" t="s">
        <v>2707</v>
      </c>
      <c r="B9" s="419" t="s">
        <v>361</v>
      </c>
      <c r="C9" s="71" t="s">
        <v>372</v>
      </c>
      <c r="D9" s="472" t="s">
        <v>2787</v>
      </c>
      <c r="E9" s="71" t="s">
        <v>1337</v>
      </c>
      <c r="F9" s="71" t="s">
        <v>1734</v>
      </c>
      <c r="G9" s="71" t="s">
        <v>1735</v>
      </c>
      <c r="H9" s="71" t="s">
        <v>42</v>
      </c>
      <c r="J9" s="71" t="s">
        <v>44</v>
      </c>
      <c r="K9" s="71" t="s">
        <v>44</v>
      </c>
      <c r="L9" s="71" t="s">
        <v>794</v>
      </c>
      <c r="M9" s="71" t="s">
        <v>795</v>
      </c>
      <c r="N9" s="71">
        <v>19.424576999999999</v>
      </c>
      <c r="O9" s="71">
        <v>93.512326000000002</v>
      </c>
      <c r="P9" s="71" t="s">
        <v>761</v>
      </c>
      <c r="Q9" s="71" t="s">
        <v>780</v>
      </c>
      <c r="R9" s="422">
        <v>415</v>
      </c>
      <c r="S9" s="423">
        <v>1050</v>
      </c>
      <c r="T9" s="105"/>
      <c r="U9" s="101"/>
      <c r="V9" s="71" t="s">
        <v>801</v>
      </c>
      <c r="X9" s="542"/>
      <c r="Y9" s="542"/>
      <c r="Z9" s="542"/>
    </row>
    <row r="10" spans="1:26" s="71" customFormat="1" ht="14.25" customHeight="1">
      <c r="A10" s="423" t="s">
        <v>2707</v>
      </c>
      <c r="B10" s="420" t="s">
        <v>361</v>
      </c>
      <c r="C10" s="420" t="s">
        <v>2595</v>
      </c>
      <c r="D10" s="472"/>
      <c r="E10" s="71">
        <v>198508</v>
      </c>
      <c r="J10" s="71" t="s">
        <v>798</v>
      </c>
      <c r="K10" s="71" t="s">
        <v>798</v>
      </c>
      <c r="L10" s="194" t="s">
        <v>798</v>
      </c>
      <c r="M10" s="71" t="s">
        <v>298</v>
      </c>
      <c r="R10" s="422"/>
      <c r="S10" s="100"/>
      <c r="T10" s="105"/>
      <c r="U10" s="101"/>
      <c r="X10" s="542"/>
      <c r="Y10" s="542"/>
      <c r="Z10" s="542"/>
    </row>
    <row r="11" spans="1:26" s="71" customFormat="1" ht="14.25" customHeight="1">
      <c r="A11" s="423" t="s">
        <v>2707</v>
      </c>
      <c r="B11" s="419" t="s">
        <v>361</v>
      </c>
      <c r="C11" s="71" t="s">
        <v>800</v>
      </c>
      <c r="D11" s="472" t="s">
        <v>1654</v>
      </c>
      <c r="E11" s="71">
        <v>198612</v>
      </c>
      <c r="J11" s="71" t="s">
        <v>798</v>
      </c>
      <c r="K11" s="71" t="s">
        <v>798</v>
      </c>
      <c r="L11" s="71" t="s">
        <v>798</v>
      </c>
      <c r="M11" s="71" t="s">
        <v>298</v>
      </c>
      <c r="N11" s="71">
        <v>19.195390700000001</v>
      </c>
      <c r="O11" s="71">
        <v>93.585678099999996</v>
      </c>
      <c r="P11" s="71" t="s">
        <v>799</v>
      </c>
      <c r="R11" s="99"/>
      <c r="S11" s="423"/>
      <c r="T11" s="105"/>
      <c r="U11" s="101"/>
      <c r="V11" s="71" t="s">
        <v>800</v>
      </c>
      <c r="W11" s="419"/>
      <c r="X11" s="542"/>
      <c r="Y11" s="542"/>
      <c r="Z11" s="542"/>
    </row>
    <row r="12" spans="1:26" s="71" customFormat="1" ht="14.25" customHeight="1">
      <c r="A12" s="423" t="s">
        <v>2707</v>
      </c>
      <c r="B12" s="419" t="s">
        <v>361</v>
      </c>
      <c r="C12" s="419" t="s">
        <v>2296</v>
      </c>
      <c r="D12" s="472"/>
      <c r="E12" s="71">
        <v>198464</v>
      </c>
      <c r="F12" s="71" t="s">
        <v>2296</v>
      </c>
      <c r="J12" s="71" t="s">
        <v>798</v>
      </c>
      <c r="K12" s="71" t="s">
        <v>798</v>
      </c>
      <c r="L12" s="71" t="s">
        <v>798</v>
      </c>
      <c r="M12" s="71" t="s">
        <v>298</v>
      </c>
      <c r="N12" s="71">
        <v>19.417640689999999</v>
      </c>
      <c r="O12" s="71">
        <v>93.565246579999993</v>
      </c>
      <c r="Q12" s="71" t="s">
        <v>2261</v>
      </c>
      <c r="R12" s="422"/>
      <c r="S12" s="100"/>
      <c r="T12" s="105">
        <v>43462</v>
      </c>
      <c r="U12" s="101"/>
      <c r="W12" s="71" t="s">
        <v>2297</v>
      </c>
      <c r="X12" s="542"/>
      <c r="Y12" s="542"/>
      <c r="Z12" s="542"/>
    </row>
    <row r="13" spans="1:26" s="71" customFormat="1" ht="14.25" customHeight="1">
      <c r="A13" s="423" t="s">
        <v>2707</v>
      </c>
      <c r="B13" s="419" t="s">
        <v>361</v>
      </c>
      <c r="C13" s="419" t="s">
        <v>368</v>
      </c>
      <c r="D13" s="472" t="s">
        <v>1654</v>
      </c>
      <c r="E13" s="71">
        <v>198516</v>
      </c>
      <c r="J13" s="71" t="s">
        <v>798</v>
      </c>
      <c r="K13" s="71" t="s">
        <v>798</v>
      </c>
      <c r="L13" s="71" t="s">
        <v>798</v>
      </c>
      <c r="M13" s="71" t="s">
        <v>298</v>
      </c>
      <c r="N13" s="71">
        <v>19.249820710000002</v>
      </c>
      <c r="O13" s="71">
        <v>93.551040650000004</v>
      </c>
      <c r="P13" s="71" t="s">
        <v>799</v>
      </c>
      <c r="Q13" s="71" t="s">
        <v>780</v>
      </c>
      <c r="R13" s="99"/>
      <c r="S13" s="423"/>
      <c r="T13" s="105"/>
      <c r="U13" s="101"/>
      <c r="V13" s="71" t="s">
        <v>368</v>
      </c>
      <c r="X13" s="542"/>
      <c r="Y13" s="542"/>
      <c r="Z13" s="542"/>
    </row>
    <row r="14" spans="1:26" s="71" customFormat="1" ht="14.25" customHeight="1">
      <c r="A14" s="423" t="s">
        <v>2707</v>
      </c>
      <c r="B14" s="419" t="s">
        <v>361</v>
      </c>
      <c r="C14" s="419" t="s">
        <v>365</v>
      </c>
      <c r="D14" s="472" t="s">
        <v>1654</v>
      </c>
      <c r="E14" s="71">
        <v>198643</v>
      </c>
      <c r="J14" s="71" t="s">
        <v>798</v>
      </c>
      <c r="K14" s="71" t="s">
        <v>798</v>
      </c>
      <c r="L14" s="71" t="s">
        <v>798</v>
      </c>
      <c r="M14" s="71" t="s">
        <v>298</v>
      </c>
      <c r="N14" s="71">
        <v>19.18865967</v>
      </c>
      <c r="O14" s="71">
        <v>93.720703130000004</v>
      </c>
      <c r="P14" s="71" t="s">
        <v>799</v>
      </c>
      <c r="Q14" s="71" t="s">
        <v>780</v>
      </c>
      <c r="R14" s="99"/>
      <c r="S14" s="423"/>
      <c r="T14" s="105"/>
      <c r="U14" s="101"/>
      <c r="V14" s="71" t="s">
        <v>365</v>
      </c>
      <c r="X14" s="542"/>
      <c r="Y14" s="542"/>
      <c r="Z14" s="542"/>
    </row>
    <row r="15" spans="1:26" s="71" customFormat="1" ht="14.25" customHeight="1">
      <c r="A15" s="423" t="s">
        <v>2707</v>
      </c>
      <c r="B15" s="420" t="s">
        <v>361</v>
      </c>
      <c r="C15" s="420" t="s">
        <v>2594</v>
      </c>
      <c r="D15" s="472"/>
      <c r="E15" s="71">
        <v>198476</v>
      </c>
      <c r="J15" s="71" t="s">
        <v>798</v>
      </c>
      <c r="K15" s="71" t="s">
        <v>798</v>
      </c>
      <c r="L15" s="194" t="s">
        <v>798</v>
      </c>
      <c r="M15" s="71" t="s">
        <v>298</v>
      </c>
      <c r="R15" s="99"/>
      <c r="S15" s="423"/>
      <c r="T15" s="105"/>
      <c r="U15" s="101"/>
      <c r="X15" s="542"/>
      <c r="Y15" s="542"/>
      <c r="Z15" s="542"/>
    </row>
    <row r="16" spans="1:26" s="71" customFormat="1" ht="14.25" customHeight="1">
      <c r="A16" s="423" t="s">
        <v>2707</v>
      </c>
      <c r="B16" s="420" t="s">
        <v>361</v>
      </c>
      <c r="C16" s="420" t="s">
        <v>367</v>
      </c>
      <c r="D16" s="472" t="s">
        <v>1654</v>
      </c>
      <c r="E16" s="71">
        <v>198514</v>
      </c>
      <c r="J16" s="71" t="s">
        <v>798</v>
      </c>
      <c r="K16" s="71" t="s">
        <v>798</v>
      </c>
      <c r="L16" s="71" t="s">
        <v>798</v>
      </c>
      <c r="M16" s="71" t="s">
        <v>298</v>
      </c>
      <c r="N16" s="71">
        <v>19.221920010000002</v>
      </c>
      <c r="O16" s="71">
        <v>93.571296689999997</v>
      </c>
      <c r="P16" s="71" t="s">
        <v>799</v>
      </c>
      <c r="Q16" s="71" t="s">
        <v>780</v>
      </c>
      <c r="R16" s="99"/>
      <c r="S16" s="423"/>
      <c r="T16" s="105"/>
      <c r="U16" s="101"/>
      <c r="V16" s="71" t="s">
        <v>367</v>
      </c>
      <c r="W16" s="419"/>
      <c r="X16" s="542"/>
      <c r="Y16" s="542"/>
      <c r="Z16" s="542"/>
    </row>
    <row r="17" spans="1:26" s="71" customFormat="1" ht="14.25" customHeight="1">
      <c r="A17" s="423" t="s">
        <v>2707</v>
      </c>
      <c r="B17" s="420" t="s">
        <v>361</v>
      </c>
      <c r="C17" s="420" t="s">
        <v>369</v>
      </c>
      <c r="D17" s="472" t="s">
        <v>1654</v>
      </c>
      <c r="E17" s="419">
        <v>198512</v>
      </c>
      <c r="F17" s="419"/>
      <c r="G17" s="419"/>
      <c r="H17" s="419"/>
      <c r="I17" s="419"/>
      <c r="J17" s="419" t="s">
        <v>798</v>
      </c>
      <c r="K17" s="71" t="s">
        <v>798</v>
      </c>
      <c r="L17" s="71" t="s">
        <v>798</v>
      </c>
      <c r="M17" s="71" t="s">
        <v>298</v>
      </c>
      <c r="N17" s="419">
        <v>19.254320140000001</v>
      </c>
      <c r="O17" s="419">
        <v>93.548591610000003</v>
      </c>
      <c r="P17" s="71" t="s">
        <v>799</v>
      </c>
      <c r="Q17" s="419" t="s">
        <v>780</v>
      </c>
      <c r="R17" s="422"/>
      <c r="S17" s="423"/>
      <c r="T17" s="442"/>
      <c r="U17" s="424"/>
      <c r="V17" s="419" t="s">
        <v>369</v>
      </c>
      <c r="X17" s="542"/>
      <c r="Y17" s="542"/>
      <c r="Z17" s="542"/>
    </row>
    <row r="18" spans="1:26" s="71" customFormat="1" ht="14.25" customHeight="1">
      <c r="A18" s="423" t="s">
        <v>2707</v>
      </c>
      <c r="B18" s="420" t="s">
        <v>361</v>
      </c>
      <c r="C18" s="420" t="s">
        <v>362</v>
      </c>
      <c r="D18" s="472" t="s">
        <v>1654</v>
      </c>
      <c r="E18" s="425">
        <v>198657</v>
      </c>
      <c r="J18" s="71" t="s">
        <v>798</v>
      </c>
      <c r="K18" s="71" t="s">
        <v>798</v>
      </c>
      <c r="L18" s="71" t="s">
        <v>798</v>
      </c>
      <c r="M18" s="71" t="s">
        <v>298</v>
      </c>
      <c r="N18" s="419">
        <v>19.170919420000001</v>
      </c>
      <c r="O18" s="419">
        <v>93.692680359999997</v>
      </c>
      <c r="P18" s="71" t="s">
        <v>799</v>
      </c>
      <c r="Q18" s="71" t="s">
        <v>780</v>
      </c>
      <c r="R18" s="99"/>
      <c r="S18" s="100"/>
      <c r="T18" s="105"/>
      <c r="U18" s="101"/>
      <c r="V18" s="71" t="s">
        <v>362</v>
      </c>
      <c r="W18" s="419"/>
      <c r="X18" s="542"/>
      <c r="Y18" s="542"/>
      <c r="Z18" s="542"/>
    </row>
    <row r="19" spans="1:26" s="71" customFormat="1" ht="14.25" customHeight="1">
      <c r="A19" s="426" t="s">
        <v>2707</v>
      </c>
      <c r="B19" s="426" t="s">
        <v>306</v>
      </c>
      <c r="C19" s="427" t="s">
        <v>640</v>
      </c>
      <c r="D19" s="421"/>
      <c r="E19" s="419">
        <v>196824</v>
      </c>
      <c r="J19" s="71" t="s">
        <v>798</v>
      </c>
      <c r="K19" s="71" t="s">
        <v>798</v>
      </c>
      <c r="L19" s="71" t="s">
        <v>798</v>
      </c>
      <c r="M19" s="71" t="s">
        <v>2010</v>
      </c>
      <c r="N19" s="419">
        <v>20.855012890000001</v>
      </c>
      <c r="O19" s="419">
        <v>92.91</v>
      </c>
      <c r="R19" s="430"/>
      <c r="S19" s="423"/>
      <c r="T19" s="105">
        <v>43591</v>
      </c>
      <c r="U19" s="430"/>
      <c r="W19" s="422"/>
      <c r="X19" s="542"/>
      <c r="Y19" s="542"/>
      <c r="Z19" s="542"/>
    </row>
    <row r="20" spans="1:26" s="71" customFormat="1" ht="14.25" customHeight="1">
      <c r="A20" s="423" t="s">
        <v>2707</v>
      </c>
      <c r="B20" s="419" t="s">
        <v>306</v>
      </c>
      <c r="C20" s="71" t="s">
        <v>949</v>
      </c>
      <c r="D20" s="472" t="s">
        <v>2787</v>
      </c>
      <c r="E20" s="419" t="s">
        <v>1402</v>
      </c>
      <c r="F20" s="71" t="s">
        <v>1859</v>
      </c>
      <c r="G20" s="71" t="s">
        <v>949</v>
      </c>
      <c r="J20" s="71" t="s">
        <v>798</v>
      </c>
      <c r="K20" s="71" t="s">
        <v>798</v>
      </c>
      <c r="L20" s="71" t="s">
        <v>883</v>
      </c>
      <c r="M20" s="71" t="s">
        <v>795</v>
      </c>
      <c r="N20" s="434">
        <v>20.921424999999999</v>
      </c>
      <c r="O20" s="434">
        <v>93.003204999999994</v>
      </c>
      <c r="P20" s="71" t="s">
        <v>799</v>
      </c>
      <c r="R20" s="422">
        <v>24</v>
      </c>
      <c r="S20" s="423">
        <v>140</v>
      </c>
      <c r="T20" s="105"/>
      <c r="U20" s="101" t="s">
        <v>860</v>
      </c>
      <c r="V20" s="71" t="s">
        <v>949</v>
      </c>
      <c r="X20" s="542"/>
      <c r="Y20" s="542"/>
      <c r="Z20" s="542"/>
    </row>
    <row r="21" spans="1:26" s="71" customFormat="1" ht="14.25" customHeight="1">
      <c r="A21" s="423" t="s">
        <v>2707</v>
      </c>
      <c r="B21" s="419" t="s">
        <v>306</v>
      </c>
      <c r="C21" s="419" t="s">
        <v>948</v>
      </c>
      <c r="D21" s="472" t="s">
        <v>2787</v>
      </c>
      <c r="E21" s="420" t="s">
        <v>1401</v>
      </c>
      <c r="F21" s="419" t="s">
        <v>948</v>
      </c>
      <c r="G21" s="71" t="s">
        <v>1858</v>
      </c>
      <c r="J21" s="71" t="s">
        <v>798</v>
      </c>
      <c r="K21" s="71" t="s">
        <v>798</v>
      </c>
      <c r="L21" s="71" t="s">
        <v>883</v>
      </c>
      <c r="M21" s="71" t="s">
        <v>795</v>
      </c>
      <c r="N21" s="434">
        <v>20.896740000000001</v>
      </c>
      <c r="O21" s="434">
        <v>93.014349999999993</v>
      </c>
      <c r="P21" s="71" t="s">
        <v>799</v>
      </c>
      <c r="R21" s="422">
        <v>14</v>
      </c>
      <c r="S21" s="423">
        <v>84</v>
      </c>
      <c r="T21" s="105"/>
      <c r="U21" s="101" t="s">
        <v>860</v>
      </c>
      <c r="V21" s="71" t="s">
        <v>948</v>
      </c>
      <c r="W21" s="419"/>
      <c r="X21" s="542"/>
      <c r="Y21" s="542"/>
      <c r="Z21" s="542"/>
    </row>
    <row r="22" spans="1:26" s="71" customFormat="1" ht="14.25" customHeight="1">
      <c r="A22" s="423" t="s">
        <v>2707</v>
      </c>
      <c r="B22" s="419" t="s">
        <v>306</v>
      </c>
      <c r="C22" s="419" t="s">
        <v>307</v>
      </c>
      <c r="D22" s="472" t="s">
        <v>1654</v>
      </c>
      <c r="E22" s="419"/>
      <c r="F22" s="419"/>
      <c r="G22" s="419"/>
      <c r="H22" s="419"/>
      <c r="I22" s="419"/>
      <c r="J22" s="419" t="s">
        <v>798</v>
      </c>
      <c r="K22" s="419" t="s">
        <v>798</v>
      </c>
      <c r="L22" s="419" t="s">
        <v>798</v>
      </c>
      <c r="M22" s="419" t="s">
        <v>298</v>
      </c>
      <c r="N22" s="419"/>
      <c r="O22" s="419"/>
      <c r="P22" s="419" t="s">
        <v>799</v>
      </c>
      <c r="Q22" s="419" t="s">
        <v>780</v>
      </c>
      <c r="R22" s="422"/>
      <c r="S22" s="423"/>
      <c r="T22" s="442"/>
      <c r="U22" s="424"/>
      <c r="V22" s="419" t="s">
        <v>307</v>
      </c>
      <c r="W22" s="419"/>
      <c r="X22" s="542"/>
      <c r="Y22" s="542"/>
      <c r="Z22" s="542"/>
    </row>
    <row r="23" spans="1:26" s="71" customFormat="1" ht="14.25" customHeight="1">
      <c r="A23" s="423" t="s">
        <v>2707</v>
      </c>
      <c r="B23" s="419" t="s">
        <v>306</v>
      </c>
      <c r="C23" s="419" t="s">
        <v>570</v>
      </c>
      <c r="D23" s="472" t="s">
        <v>2787</v>
      </c>
      <c r="E23" s="419" t="s">
        <v>1389</v>
      </c>
      <c r="F23" s="419"/>
      <c r="G23" s="419"/>
      <c r="H23" s="419"/>
      <c r="I23" s="419"/>
      <c r="J23" s="419" t="s">
        <v>798</v>
      </c>
      <c r="K23" s="419" t="s">
        <v>798</v>
      </c>
      <c r="L23" s="419" t="s">
        <v>883</v>
      </c>
      <c r="M23" s="419" t="s">
        <v>298</v>
      </c>
      <c r="N23" s="419">
        <v>20.720213000000001</v>
      </c>
      <c r="O23" s="419">
        <v>92.961841000000007</v>
      </c>
      <c r="P23" s="419" t="s">
        <v>799</v>
      </c>
      <c r="Q23" s="419" t="s">
        <v>780</v>
      </c>
      <c r="R23" s="422">
        <v>100</v>
      </c>
      <c r="S23" s="423">
        <v>559</v>
      </c>
      <c r="T23" s="442"/>
      <c r="U23" s="424"/>
      <c r="V23" s="419" t="s">
        <v>570</v>
      </c>
      <c r="W23" s="419"/>
      <c r="X23" s="542"/>
      <c r="Y23" s="542"/>
      <c r="Z23" s="542"/>
    </row>
    <row r="24" spans="1:26" s="71" customFormat="1" ht="14.25" customHeight="1">
      <c r="A24" s="423" t="s">
        <v>2707</v>
      </c>
      <c r="B24" s="419" t="s">
        <v>306</v>
      </c>
      <c r="C24" s="71" t="s">
        <v>931</v>
      </c>
      <c r="D24" s="472" t="s">
        <v>1654</v>
      </c>
      <c r="E24" s="71">
        <v>196946</v>
      </c>
      <c r="J24" s="71" t="s">
        <v>798</v>
      </c>
      <c r="K24" s="71" t="s">
        <v>798</v>
      </c>
      <c r="L24" s="71" t="s">
        <v>798</v>
      </c>
      <c r="M24" s="71" t="s">
        <v>298</v>
      </c>
      <c r="N24" s="71">
        <v>20.720213000000001</v>
      </c>
      <c r="O24" s="71">
        <v>92.961841000000007</v>
      </c>
      <c r="P24" s="71" t="s">
        <v>799</v>
      </c>
      <c r="R24" s="99"/>
      <c r="S24" s="100"/>
      <c r="T24" s="105"/>
      <c r="U24" s="101"/>
      <c r="V24" s="71" t="s">
        <v>570</v>
      </c>
      <c r="X24" s="542"/>
      <c r="Y24" s="542"/>
      <c r="Z24" s="542"/>
    </row>
    <row r="25" spans="1:26" s="71" customFormat="1" ht="14.25" customHeight="1">
      <c r="A25" s="423" t="s">
        <v>2707</v>
      </c>
      <c r="B25" s="419" t="s">
        <v>306</v>
      </c>
      <c r="C25" s="419" t="s">
        <v>700</v>
      </c>
      <c r="D25" s="472" t="s">
        <v>1654</v>
      </c>
      <c r="E25" s="419">
        <v>196878</v>
      </c>
      <c r="F25" s="419"/>
      <c r="G25" s="419"/>
      <c r="H25" s="419"/>
      <c r="I25" s="419"/>
      <c r="J25" s="419" t="s">
        <v>798</v>
      </c>
      <c r="K25" s="419" t="s">
        <v>798</v>
      </c>
      <c r="L25" s="419" t="s">
        <v>798</v>
      </c>
      <c r="M25" s="419" t="s">
        <v>298</v>
      </c>
      <c r="N25" s="419">
        <v>20.627639769999998</v>
      </c>
      <c r="O25" s="419">
        <v>93.022773740000005</v>
      </c>
      <c r="P25" s="419" t="s">
        <v>799</v>
      </c>
      <c r="Q25" s="419" t="s">
        <v>780</v>
      </c>
      <c r="R25" s="422"/>
      <c r="S25" s="423"/>
      <c r="T25" s="442"/>
      <c r="U25" s="424"/>
      <c r="V25" s="419"/>
      <c r="W25" s="419"/>
      <c r="X25" s="542"/>
      <c r="Y25" s="542"/>
      <c r="Z25" s="542"/>
    </row>
    <row r="26" spans="1:26" s="71" customFormat="1" ht="14.25" customHeight="1">
      <c r="A26" s="426" t="s">
        <v>2707</v>
      </c>
      <c r="B26" s="426" t="s">
        <v>306</v>
      </c>
      <c r="C26" s="427" t="s">
        <v>2836</v>
      </c>
      <c r="D26" s="421"/>
      <c r="E26" s="194">
        <v>196937</v>
      </c>
      <c r="J26" s="71" t="s">
        <v>2715</v>
      </c>
      <c r="K26" s="71" t="s">
        <v>2677</v>
      </c>
      <c r="L26" s="71" t="s">
        <v>2677</v>
      </c>
      <c r="N26" s="194">
        <v>20.64656067</v>
      </c>
      <c r="O26" s="194">
        <v>92.976043700000005</v>
      </c>
      <c r="R26" s="430"/>
      <c r="S26" s="423"/>
      <c r="T26" s="105">
        <v>43591</v>
      </c>
      <c r="U26" s="430"/>
      <c r="W26" s="422"/>
      <c r="X26" s="542"/>
      <c r="Y26" s="542"/>
      <c r="Z26" s="542"/>
    </row>
    <row r="27" spans="1:26" s="71" customFormat="1" ht="14.25" customHeight="1">
      <c r="A27" s="423" t="s">
        <v>2707</v>
      </c>
      <c r="B27" s="206" t="s">
        <v>306</v>
      </c>
      <c r="C27" s="207" t="s">
        <v>2298</v>
      </c>
      <c r="D27" s="421"/>
      <c r="E27" s="202">
        <v>196933</v>
      </c>
      <c r="F27" s="202" t="s">
        <v>871</v>
      </c>
      <c r="G27" s="202"/>
      <c r="H27" s="202"/>
      <c r="I27" s="202"/>
      <c r="J27" s="202" t="s">
        <v>798</v>
      </c>
      <c r="K27" s="202" t="s">
        <v>798</v>
      </c>
      <c r="L27" s="202" t="s">
        <v>798</v>
      </c>
      <c r="M27" s="202"/>
      <c r="N27" s="202">
        <v>20.66370964</v>
      </c>
      <c r="O27" s="202">
        <v>92.973167419999996</v>
      </c>
      <c r="P27" s="202" t="s">
        <v>799</v>
      </c>
      <c r="Q27" s="202" t="s">
        <v>2261</v>
      </c>
      <c r="R27" s="203"/>
      <c r="S27" s="201"/>
      <c r="T27" s="204">
        <v>43465</v>
      </c>
      <c r="U27" s="205" t="s">
        <v>2304</v>
      </c>
      <c r="V27" s="202" t="s">
        <v>2298</v>
      </c>
      <c r="W27" s="422"/>
      <c r="X27" s="542"/>
      <c r="Y27" s="542"/>
      <c r="Z27" s="542"/>
    </row>
    <row r="28" spans="1:26" s="71" customFormat="1" ht="14.25" customHeight="1">
      <c r="A28" s="426" t="s">
        <v>2707</v>
      </c>
      <c r="B28" s="426" t="s">
        <v>306</v>
      </c>
      <c r="C28" s="427" t="s">
        <v>2837</v>
      </c>
      <c r="D28" s="421"/>
      <c r="E28" s="419">
        <v>196940</v>
      </c>
      <c r="F28" s="419"/>
      <c r="G28" s="419"/>
      <c r="H28" s="419"/>
      <c r="I28" s="419"/>
      <c r="J28" s="419" t="s">
        <v>2715</v>
      </c>
      <c r="K28" s="419" t="s">
        <v>2677</v>
      </c>
      <c r="L28" s="419" t="s">
        <v>2677</v>
      </c>
      <c r="M28" s="419"/>
      <c r="N28" s="419">
        <v>20.6563606262207</v>
      </c>
      <c r="O28" s="419">
        <v>92.998542785644503</v>
      </c>
      <c r="P28" s="419"/>
      <c r="Q28" s="419"/>
      <c r="R28" s="430"/>
      <c r="S28" s="423"/>
      <c r="T28" s="442">
        <v>43591</v>
      </c>
      <c r="U28" s="430"/>
      <c r="V28" s="419"/>
      <c r="W28" s="422"/>
      <c r="X28" s="542"/>
      <c r="Y28" s="542"/>
      <c r="Z28" s="542"/>
    </row>
    <row r="29" spans="1:26" s="71" customFormat="1" ht="14.25" customHeight="1">
      <c r="A29" s="426" t="s">
        <v>2707</v>
      </c>
      <c r="B29" s="426" t="s">
        <v>306</v>
      </c>
      <c r="C29" s="427" t="s">
        <v>2835</v>
      </c>
      <c r="D29" s="421"/>
      <c r="E29" s="419">
        <v>196942</v>
      </c>
      <c r="F29" s="419"/>
      <c r="G29" s="419"/>
      <c r="H29" s="419"/>
      <c r="I29" s="419"/>
      <c r="J29" s="71" t="s">
        <v>2715</v>
      </c>
      <c r="K29" s="71" t="s">
        <v>2677</v>
      </c>
      <c r="L29" s="71" t="s">
        <v>2677</v>
      </c>
      <c r="M29" s="419"/>
      <c r="N29" s="419">
        <v>20.6715202331543</v>
      </c>
      <c r="O29" s="419">
        <v>92.998092651367202</v>
      </c>
      <c r="Q29" s="419"/>
      <c r="R29" s="430"/>
      <c r="S29" s="423"/>
      <c r="T29" s="442">
        <v>43591</v>
      </c>
      <c r="U29" s="430"/>
      <c r="V29" s="419"/>
      <c r="W29" s="422"/>
      <c r="X29" s="542"/>
      <c r="Y29" s="542"/>
      <c r="Z29" s="542"/>
    </row>
    <row r="30" spans="1:26" s="71" customFormat="1" ht="14.25" customHeight="1">
      <c r="A30" s="423" t="s">
        <v>2707</v>
      </c>
      <c r="B30" s="419" t="s">
        <v>306</v>
      </c>
      <c r="C30" s="419" t="s">
        <v>556</v>
      </c>
      <c r="D30" s="472" t="s">
        <v>1654</v>
      </c>
      <c r="E30" s="419">
        <v>196943</v>
      </c>
      <c r="F30" s="419"/>
      <c r="G30" s="419"/>
      <c r="H30" s="419"/>
      <c r="I30" s="419"/>
      <c r="J30" s="419" t="s">
        <v>804</v>
      </c>
      <c r="K30" s="419" t="s">
        <v>798</v>
      </c>
      <c r="L30" s="419" t="s">
        <v>804</v>
      </c>
      <c r="M30" s="419" t="s">
        <v>298</v>
      </c>
      <c r="N30" s="419">
        <v>20.705930710000001</v>
      </c>
      <c r="O30" s="419">
        <v>93.001953130000004</v>
      </c>
      <c r="P30" s="419" t="s">
        <v>923</v>
      </c>
      <c r="Q30" s="419" t="s">
        <v>780</v>
      </c>
      <c r="R30" s="422"/>
      <c r="S30" s="423"/>
      <c r="T30" s="442"/>
      <c r="U30" s="424"/>
      <c r="V30" s="419" t="s">
        <v>556</v>
      </c>
      <c r="W30" s="419"/>
      <c r="X30" s="542"/>
      <c r="Y30" s="542"/>
      <c r="Z30" s="542"/>
    </row>
    <row r="31" spans="1:26" s="71" customFormat="1" ht="14.25" customHeight="1">
      <c r="A31" s="426" t="s">
        <v>2707</v>
      </c>
      <c r="B31" s="426" t="s">
        <v>306</v>
      </c>
      <c r="C31" s="427" t="s">
        <v>2832</v>
      </c>
      <c r="D31" s="421"/>
      <c r="E31" s="419">
        <v>196943</v>
      </c>
      <c r="F31" s="419"/>
      <c r="G31" s="419"/>
      <c r="H31" s="419"/>
      <c r="I31" s="419"/>
      <c r="J31" s="419" t="s">
        <v>2715</v>
      </c>
      <c r="K31" s="419" t="s">
        <v>2677</v>
      </c>
      <c r="L31" s="419" t="s">
        <v>2677</v>
      </c>
      <c r="M31" s="419"/>
      <c r="N31" s="419">
        <v>20.705930710000001</v>
      </c>
      <c r="O31" s="419">
        <v>93.001953130000004</v>
      </c>
      <c r="P31" s="419"/>
      <c r="Q31" s="419"/>
      <c r="R31" s="430"/>
      <c r="S31" s="423"/>
      <c r="T31" s="442">
        <v>43591</v>
      </c>
      <c r="U31" s="430"/>
      <c r="V31" s="419"/>
      <c r="W31" s="422"/>
      <c r="X31" s="542"/>
      <c r="Y31" s="542"/>
      <c r="Z31" s="542"/>
    </row>
    <row r="32" spans="1:26" s="71" customFormat="1" ht="14.25" customHeight="1">
      <c r="A32" s="423" t="s">
        <v>2707</v>
      </c>
      <c r="B32" s="198" t="s">
        <v>306</v>
      </c>
      <c r="C32" s="199" t="s">
        <v>639</v>
      </c>
      <c r="D32" s="421" t="s">
        <v>1654</v>
      </c>
      <c r="E32" s="194">
        <v>196825</v>
      </c>
      <c r="F32" s="194"/>
      <c r="G32" s="194"/>
      <c r="H32" s="194"/>
      <c r="I32" s="194"/>
      <c r="J32" s="194" t="s">
        <v>804</v>
      </c>
      <c r="K32" s="194" t="s">
        <v>798</v>
      </c>
      <c r="L32" s="194" t="s">
        <v>804</v>
      </c>
      <c r="M32" s="194" t="s">
        <v>2010</v>
      </c>
      <c r="N32" s="194">
        <v>20.851089479999999</v>
      </c>
      <c r="O32" s="194">
        <v>92.916893009999995</v>
      </c>
      <c r="P32" s="194" t="s">
        <v>923</v>
      </c>
      <c r="Q32" s="194" t="s">
        <v>926</v>
      </c>
      <c r="R32" s="195"/>
      <c r="S32" s="193"/>
      <c r="T32" s="196">
        <v>43011</v>
      </c>
      <c r="U32" s="197" t="s">
        <v>927</v>
      </c>
      <c r="V32" s="194"/>
      <c r="W32" s="422"/>
      <c r="X32" s="542"/>
      <c r="Y32" s="542"/>
      <c r="Z32" s="542"/>
    </row>
    <row r="33" spans="1:26" s="71" customFormat="1" ht="14.25" customHeight="1">
      <c r="A33" s="423" t="s">
        <v>2707</v>
      </c>
      <c r="B33" s="419" t="s">
        <v>306</v>
      </c>
      <c r="C33" s="419" t="s">
        <v>518</v>
      </c>
      <c r="D33" s="472" t="s">
        <v>1654</v>
      </c>
      <c r="E33" s="419">
        <v>196983</v>
      </c>
      <c r="J33" s="71" t="s">
        <v>798</v>
      </c>
      <c r="K33" s="71" t="s">
        <v>798</v>
      </c>
      <c r="L33" s="71" t="s">
        <v>798</v>
      </c>
      <c r="M33" s="71" t="s">
        <v>298</v>
      </c>
      <c r="N33" s="71">
        <v>20.644098280000001</v>
      </c>
      <c r="O33" s="71">
        <v>93.036460880000007</v>
      </c>
      <c r="P33" s="71" t="s">
        <v>799</v>
      </c>
      <c r="Q33" s="71" t="s">
        <v>780</v>
      </c>
      <c r="R33" s="422"/>
      <c r="S33" s="423"/>
      <c r="T33" s="105"/>
      <c r="U33" s="101"/>
      <c r="W33" s="419"/>
      <c r="X33" s="542"/>
      <c r="Y33" s="542"/>
      <c r="Z33" s="542"/>
    </row>
    <row r="34" spans="1:26" s="71" customFormat="1" ht="14.25" customHeight="1">
      <c r="A34" s="423" t="s">
        <v>2707</v>
      </c>
      <c r="B34" s="419" t="s">
        <v>306</v>
      </c>
      <c r="C34" s="419" t="s">
        <v>560</v>
      </c>
      <c r="D34" s="472" t="s">
        <v>2787</v>
      </c>
      <c r="E34" s="71" t="s">
        <v>1386</v>
      </c>
      <c r="F34" s="71" t="s">
        <v>560</v>
      </c>
      <c r="G34" s="71" t="s">
        <v>1747</v>
      </c>
      <c r="J34" s="71" t="s">
        <v>798</v>
      </c>
      <c r="K34" s="71" t="s">
        <v>798</v>
      </c>
      <c r="L34" s="71" t="s">
        <v>883</v>
      </c>
      <c r="M34" s="71" t="s">
        <v>795</v>
      </c>
      <c r="N34" s="71">
        <v>20.713259999999998</v>
      </c>
      <c r="O34" s="71">
        <v>93.014089999999996</v>
      </c>
      <c r="P34" s="71" t="s">
        <v>799</v>
      </c>
      <c r="Q34" s="71" t="s">
        <v>780</v>
      </c>
      <c r="R34" s="422">
        <v>116</v>
      </c>
      <c r="S34" s="423">
        <v>802</v>
      </c>
      <c r="T34" s="105"/>
      <c r="U34" s="101"/>
      <c r="V34" s="71" t="s">
        <v>560</v>
      </c>
      <c r="X34" s="542"/>
      <c r="Y34" s="542"/>
      <c r="Z34" s="542"/>
    </row>
    <row r="35" spans="1:26" s="71" customFormat="1" ht="14.25" customHeight="1">
      <c r="A35" s="423" t="s">
        <v>2707</v>
      </c>
      <c r="B35" s="206" t="s">
        <v>306</v>
      </c>
      <c r="C35" s="207" t="s">
        <v>558</v>
      </c>
      <c r="D35" s="421" t="s">
        <v>1654</v>
      </c>
      <c r="E35" s="202">
        <v>196973</v>
      </c>
      <c r="F35" s="202"/>
      <c r="G35" s="202"/>
      <c r="H35" s="202"/>
      <c r="I35" s="202"/>
      <c r="J35" s="202" t="s">
        <v>798</v>
      </c>
      <c r="K35" s="202" t="s">
        <v>798</v>
      </c>
      <c r="L35" s="202" t="s">
        <v>798</v>
      </c>
      <c r="M35" s="202" t="s">
        <v>298</v>
      </c>
      <c r="N35" s="202">
        <v>20.709970469999998</v>
      </c>
      <c r="O35" s="202">
        <v>93.015357969999997</v>
      </c>
      <c r="P35" s="202" t="s">
        <v>799</v>
      </c>
      <c r="Q35" s="202" t="s">
        <v>780</v>
      </c>
      <c r="R35" s="203"/>
      <c r="S35" s="201"/>
      <c r="T35" s="204"/>
      <c r="U35" s="205"/>
      <c r="V35" s="202"/>
      <c r="W35" s="422"/>
      <c r="X35" s="542"/>
      <c r="Y35" s="542"/>
      <c r="Z35" s="542"/>
    </row>
    <row r="36" spans="1:26" s="71" customFormat="1" ht="14.25" customHeight="1">
      <c r="A36" s="423" t="s">
        <v>2707</v>
      </c>
      <c r="B36" s="198" t="s">
        <v>306</v>
      </c>
      <c r="C36" s="199" t="s">
        <v>611</v>
      </c>
      <c r="D36" s="421" t="s">
        <v>1654</v>
      </c>
      <c r="E36" s="194">
        <v>196883</v>
      </c>
      <c r="F36" s="194"/>
      <c r="G36" s="194"/>
      <c r="H36" s="194"/>
      <c r="I36" s="194"/>
      <c r="J36" s="194" t="s">
        <v>804</v>
      </c>
      <c r="K36" s="194" t="s">
        <v>798</v>
      </c>
      <c r="L36" s="194" t="s">
        <v>804</v>
      </c>
      <c r="M36" s="194" t="s">
        <v>2010</v>
      </c>
      <c r="N36" s="194">
        <v>20.803529739999998</v>
      </c>
      <c r="O36" s="194">
        <v>92.929466250000004</v>
      </c>
      <c r="P36" s="194" t="s">
        <v>923</v>
      </c>
      <c r="Q36" s="194"/>
      <c r="R36" s="195"/>
      <c r="S36" s="193"/>
      <c r="T36" s="196"/>
      <c r="U36" s="197"/>
      <c r="V36" s="194" t="s">
        <v>611</v>
      </c>
      <c r="W36" s="422"/>
      <c r="X36" s="542"/>
      <c r="Y36" s="542"/>
      <c r="Z36" s="542"/>
    </row>
    <row r="37" spans="1:26" s="71" customFormat="1" ht="14.25" customHeight="1">
      <c r="A37" s="426" t="s">
        <v>2707</v>
      </c>
      <c r="B37" s="426" t="s">
        <v>306</v>
      </c>
      <c r="C37" s="427" t="s">
        <v>2831</v>
      </c>
      <c r="D37" s="421"/>
      <c r="F37" s="419"/>
      <c r="J37" s="71" t="s">
        <v>2715</v>
      </c>
      <c r="K37" s="71" t="s">
        <v>2677</v>
      </c>
      <c r="L37" s="71" t="s">
        <v>2677</v>
      </c>
      <c r="R37" s="430"/>
      <c r="S37" s="423"/>
      <c r="T37" s="105">
        <v>43591</v>
      </c>
      <c r="U37" s="430"/>
      <c r="W37" s="422"/>
      <c r="X37" s="542"/>
      <c r="Y37" s="542"/>
      <c r="Z37" s="542"/>
    </row>
    <row r="38" spans="1:26" s="71" customFormat="1" ht="14.25" customHeight="1">
      <c r="A38" s="423" t="s">
        <v>2707</v>
      </c>
      <c r="B38" s="198" t="s">
        <v>306</v>
      </c>
      <c r="C38" s="199" t="s">
        <v>551</v>
      </c>
      <c r="D38" s="472" t="s">
        <v>2787</v>
      </c>
      <c r="E38" s="194" t="s">
        <v>1385</v>
      </c>
      <c r="F38" s="194" t="s">
        <v>556</v>
      </c>
      <c r="G38" s="194" t="s">
        <v>551</v>
      </c>
      <c r="H38" s="194"/>
      <c r="I38" s="194"/>
      <c r="J38" s="71" t="s">
        <v>798</v>
      </c>
      <c r="K38" s="71" t="s">
        <v>798</v>
      </c>
      <c r="L38" s="71" t="s">
        <v>883</v>
      </c>
      <c r="M38" s="71" t="s">
        <v>795</v>
      </c>
      <c r="N38" s="71" t="s">
        <v>799</v>
      </c>
      <c r="O38" s="194">
        <v>93.009900000000002</v>
      </c>
      <c r="P38" s="71" t="s">
        <v>799</v>
      </c>
      <c r="Q38" s="194" t="s">
        <v>780</v>
      </c>
      <c r="R38" s="99">
        <v>236</v>
      </c>
      <c r="S38" s="423">
        <v>1524</v>
      </c>
      <c r="T38" s="196"/>
      <c r="U38" s="197"/>
      <c r="V38" s="194" t="s">
        <v>928</v>
      </c>
      <c r="W38" s="422"/>
      <c r="X38" s="542"/>
      <c r="Y38" s="542"/>
      <c r="Z38" s="542"/>
    </row>
    <row r="39" spans="1:26" s="71" customFormat="1" ht="14.25" customHeight="1">
      <c r="A39" s="423" t="s">
        <v>2707</v>
      </c>
      <c r="B39" s="426" t="s">
        <v>306</v>
      </c>
      <c r="C39" s="427" t="s">
        <v>2794</v>
      </c>
      <c r="D39" s="421"/>
      <c r="E39" s="71">
        <v>196906</v>
      </c>
      <c r="J39" s="71" t="s">
        <v>2715</v>
      </c>
      <c r="K39" s="71" t="s">
        <v>2677</v>
      </c>
      <c r="L39" s="71" t="s">
        <v>2677</v>
      </c>
      <c r="N39" s="71">
        <v>20.680830001831101</v>
      </c>
      <c r="O39" s="71">
        <v>92.917633056640597</v>
      </c>
      <c r="R39" s="430"/>
      <c r="S39" s="423"/>
      <c r="T39" s="105">
        <v>43591</v>
      </c>
      <c r="U39" s="430"/>
      <c r="W39" s="422"/>
      <c r="X39" s="542"/>
      <c r="Y39" s="542"/>
      <c r="Z39" s="542"/>
    </row>
    <row r="40" spans="1:26" s="71" customFormat="1" ht="14.25" customHeight="1">
      <c r="A40" s="423" t="s">
        <v>2707</v>
      </c>
      <c r="B40" s="419" t="s">
        <v>306</v>
      </c>
      <c r="C40" s="419" t="s">
        <v>2246</v>
      </c>
      <c r="D40" s="472"/>
      <c r="E40" s="71">
        <v>196804</v>
      </c>
      <c r="J40" s="71" t="s">
        <v>798</v>
      </c>
      <c r="K40" s="71" t="s">
        <v>798</v>
      </c>
      <c r="L40" s="71" t="s">
        <v>798</v>
      </c>
      <c r="N40" s="71">
        <v>20.896429059999999</v>
      </c>
      <c r="O40" s="71">
        <v>92.940193179999994</v>
      </c>
      <c r="P40" s="71" t="s">
        <v>799</v>
      </c>
      <c r="R40" s="422"/>
      <c r="S40" s="100"/>
      <c r="T40" s="105"/>
      <c r="U40" s="101"/>
      <c r="V40" s="71" t="s">
        <v>2238</v>
      </c>
      <c r="X40" s="542"/>
      <c r="Y40" s="542"/>
      <c r="Z40" s="542"/>
    </row>
    <row r="41" spans="1:26" s="71" customFormat="1" ht="14.25" customHeight="1">
      <c r="A41" s="423" t="s">
        <v>2707</v>
      </c>
      <c r="B41" s="419" t="s">
        <v>306</v>
      </c>
      <c r="C41" s="419" t="s">
        <v>2247</v>
      </c>
      <c r="D41" s="472"/>
      <c r="E41" s="419">
        <v>196816</v>
      </c>
      <c r="F41" s="419"/>
      <c r="G41" s="419"/>
      <c r="H41" s="419"/>
      <c r="J41" s="71" t="s">
        <v>798</v>
      </c>
      <c r="K41" s="71" t="s">
        <v>798</v>
      </c>
      <c r="L41" s="419" t="s">
        <v>798</v>
      </c>
      <c r="N41" s="419">
        <v>20.727590559999999</v>
      </c>
      <c r="O41" s="419">
        <v>92.969352720000003</v>
      </c>
      <c r="P41" s="419" t="s">
        <v>799</v>
      </c>
      <c r="R41" s="422"/>
      <c r="S41" s="423"/>
      <c r="T41" s="105"/>
      <c r="U41" s="424"/>
      <c r="V41" s="419" t="s">
        <v>2240</v>
      </c>
      <c r="W41" s="419"/>
      <c r="X41" s="542"/>
      <c r="Y41" s="542"/>
      <c r="Z41" s="542"/>
    </row>
    <row r="42" spans="1:26" s="71" customFormat="1" ht="14.25" customHeight="1">
      <c r="A42" s="552" t="s">
        <v>2707</v>
      </c>
      <c r="B42" s="552" t="s">
        <v>306</v>
      </c>
      <c r="C42" s="553" t="s">
        <v>2882</v>
      </c>
      <c r="D42" s="547"/>
      <c r="E42" s="419"/>
      <c r="F42" s="419"/>
      <c r="G42" s="419"/>
      <c r="H42" s="419"/>
      <c r="I42" s="419"/>
      <c r="J42" s="419" t="s">
        <v>2715</v>
      </c>
      <c r="K42" s="419" t="s">
        <v>2677</v>
      </c>
      <c r="L42" s="419" t="s">
        <v>2677</v>
      </c>
      <c r="M42" s="419"/>
      <c r="N42" s="419"/>
      <c r="O42" s="419"/>
      <c r="P42" s="419"/>
      <c r="Q42" s="419"/>
      <c r="R42" s="556"/>
      <c r="S42" s="423"/>
      <c r="T42" s="442">
        <v>43591</v>
      </c>
      <c r="U42" s="556"/>
      <c r="V42" s="419"/>
      <c r="W42" s="548"/>
      <c r="X42" s="542"/>
      <c r="Y42" s="542"/>
      <c r="Z42" s="542"/>
    </row>
    <row r="43" spans="1:26" s="71" customFormat="1" ht="14.25" customHeight="1">
      <c r="A43" s="423" t="s">
        <v>2707</v>
      </c>
      <c r="B43" s="419" t="s">
        <v>306</v>
      </c>
      <c r="C43" s="419" t="s">
        <v>2306</v>
      </c>
      <c r="D43" s="472"/>
      <c r="E43" s="419">
        <v>196938</v>
      </c>
      <c r="F43" s="419" t="s">
        <v>2302</v>
      </c>
      <c r="G43" s="419"/>
      <c r="H43" s="419"/>
      <c r="I43" s="419"/>
      <c r="J43" s="419" t="s">
        <v>798</v>
      </c>
      <c r="K43" s="419" t="s">
        <v>798</v>
      </c>
      <c r="L43" s="419" t="s">
        <v>798</v>
      </c>
      <c r="M43" s="419"/>
      <c r="N43" s="419">
        <v>20.640909189999999</v>
      </c>
      <c r="O43" s="419">
        <v>92.979751590000006</v>
      </c>
      <c r="P43" s="419" t="s">
        <v>799</v>
      </c>
      <c r="Q43" s="419" t="s">
        <v>2261</v>
      </c>
      <c r="R43" s="422"/>
      <c r="S43" s="423"/>
      <c r="T43" s="442">
        <v>43465</v>
      </c>
      <c r="U43" s="424" t="s">
        <v>2304</v>
      </c>
      <c r="V43" s="419" t="s">
        <v>2300</v>
      </c>
      <c r="W43" s="419"/>
      <c r="X43" s="542"/>
      <c r="Y43" s="542"/>
      <c r="Z43" s="542"/>
    </row>
    <row r="44" spans="1:26" s="71" customFormat="1" ht="14.25" customHeight="1">
      <c r="A44" s="549" t="s">
        <v>2707</v>
      </c>
      <c r="B44" s="542" t="s">
        <v>306</v>
      </c>
      <c r="C44" s="542" t="s">
        <v>649</v>
      </c>
      <c r="D44" s="472" t="s">
        <v>2787</v>
      </c>
      <c r="E44" s="71" t="s">
        <v>1400</v>
      </c>
      <c r="F44" s="71" t="s">
        <v>1753</v>
      </c>
      <c r="G44" s="71" t="s">
        <v>1754</v>
      </c>
      <c r="J44" s="71" t="s">
        <v>798</v>
      </c>
      <c r="K44" s="71" t="s">
        <v>798</v>
      </c>
      <c r="L44" s="71" t="s">
        <v>821</v>
      </c>
      <c r="M44" s="71" t="s">
        <v>795</v>
      </c>
      <c r="N44" s="71">
        <v>20.886997999999998</v>
      </c>
      <c r="O44" s="71">
        <v>93.006497999999993</v>
      </c>
      <c r="P44" s="71" t="s">
        <v>799</v>
      </c>
      <c r="Q44" s="71" t="s">
        <v>780</v>
      </c>
      <c r="R44" s="548">
        <v>97</v>
      </c>
      <c r="S44" s="100">
        <v>557</v>
      </c>
      <c r="T44" s="105"/>
      <c r="U44" s="550"/>
      <c r="V44" s="71" t="s">
        <v>649</v>
      </c>
      <c r="W44" s="542"/>
      <c r="X44" s="542"/>
      <c r="Y44" s="542"/>
      <c r="Z44" s="542"/>
    </row>
    <row r="45" spans="1:26" s="71" customFormat="1" ht="14.25" customHeight="1">
      <c r="A45" s="552" t="s">
        <v>2707</v>
      </c>
      <c r="B45" s="552" t="s">
        <v>306</v>
      </c>
      <c r="C45" s="553" t="s">
        <v>2838</v>
      </c>
      <c r="D45" s="547"/>
      <c r="E45" s="419">
        <v>196865</v>
      </c>
      <c r="F45" s="419"/>
      <c r="G45" s="419"/>
      <c r="H45" s="419"/>
      <c r="I45" s="419"/>
      <c r="J45" s="419" t="s">
        <v>2715</v>
      </c>
      <c r="K45" s="419" t="s">
        <v>2677</v>
      </c>
      <c r="L45" s="419" t="s">
        <v>2677</v>
      </c>
      <c r="M45" s="419"/>
      <c r="N45" s="419">
        <v>20.8122158050537</v>
      </c>
      <c r="O45" s="419">
        <v>93.061012268066406</v>
      </c>
      <c r="P45" s="419"/>
      <c r="Q45" s="419"/>
      <c r="R45" s="556"/>
      <c r="S45" s="423"/>
      <c r="T45" s="442">
        <v>43591</v>
      </c>
      <c r="U45" s="556"/>
      <c r="V45" s="419"/>
      <c r="W45" s="548"/>
      <c r="X45" s="542"/>
      <c r="Y45" s="542"/>
      <c r="Z45" s="542"/>
    </row>
    <row r="46" spans="1:26" s="71" customFormat="1" ht="14.25" customHeight="1">
      <c r="A46" s="423" t="s">
        <v>2707</v>
      </c>
      <c r="B46" s="419" t="s">
        <v>306</v>
      </c>
      <c r="C46" s="419" t="s">
        <v>658</v>
      </c>
      <c r="D46" s="472" t="s">
        <v>1654</v>
      </c>
      <c r="E46" s="419">
        <v>196807</v>
      </c>
      <c r="F46" s="419"/>
      <c r="G46" s="419"/>
      <c r="H46" s="419"/>
      <c r="I46" s="419"/>
      <c r="J46" s="419" t="s">
        <v>804</v>
      </c>
      <c r="K46" s="419" t="s">
        <v>798</v>
      </c>
      <c r="L46" s="419" t="s">
        <v>804</v>
      </c>
      <c r="M46" s="419" t="s">
        <v>2010</v>
      </c>
      <c r="N46" s="419">
        <v>20.895059589999999</v>
      </c>
      <c r="O46" s="419">
        <v>92.90735626</v>
      </c>
      <c r="P46" s="419" t="s">
        <v>923</v>
      </c>
      <c r="Q46" s="419" t="s">
        <v>926</v>
      </c>
      <c r="R46" s="422"/>
      <c r="S46" s="423"/>
      <c r="T46" s="442">
        <v>43011</v>
      </c>
      <c r="U46" s="424" t="s">
        <v>927</v>
      </c>
      <c r="V46" s="419"/>
      <c r="W46" s="419"/>
      <c r="X46" s="542"/>
      <c r="Y46" s="542"/>
      <c r="Z46" s="542"/>
    </row>
    <row r="47" spans="1:26" s="71" customFormat="1" ht="14.25" customHeight="1">
      <c r="A47" s="423" t="s">
        <v>2707</v>
      </c>
      <c r="B47" s="419" t="s">
        <v>306</v>
      </c>
      <c r="C47" s="71" t="s">
        <v>619</v>
      </c>
      <c r="D47" s="472" t="s">
        <v>1654</v>
      </c>
      <c r="E47" s="71">
        <v>196882</v>
      </c>
      <c r="J47" s="71" t="s">
        <v>804</v>
      </c>
      <c r="K47" s="71" t="s">
        <v>798</v>
      </c>
      <c r="L47" s="71" t="s">
        <v>804</v>
      </c>
      <c r="M47" s="71" t="s">
        <v>2010</v>
      </c>
      <c r="N47" s="71">
        <v>20.807970050000002</v>
      </c>
      <c r="O47" s="71">
        <v>92.929046630000002</v>
      </c>
      <c r="P47" s="71" t="s">
        <v>923</v>
      </c>
      <c r="Q47" s="71" t="s">
        <v>926</v>
      </c>
      <c r="R47" s="99"/>
      <c r="S47" s="423"/>
      <c r="T47" s="105">
        <v>43011</v>
      </c>
      <c r="U47" s="101" t="s">
        <v>927</v>
      </c>
      <c r="X47" s="542"/>
      <c r="Y47" s="542"/>
      <c r="Z47" s="542"/>
    </row>
    <row r="48" spans="1:26" s="71" customFormat="1" ht="14.25" customHeight="1">
      <c r="A48" s="423" t="s">
        <v>2707</v>
      </c>
      <c r="B48" s="419" t="s">
        <v>306</v>
      </c>
      <c r="C48" s="419" t="s">
        <v>701</v>
      </c>
      <c r="D48" s="472" t="s">
        <v>1654</v>
      </c>
      <c r="E48" s="419">
        <v>196875</v>
      </c>
      <c r="F48" s="419"/>
      <c r="G48" s="419"/>
      <c r="H48" s="419"/>
      <c r="I48" s="419"/>
      <c r="J48" s="419" t="s">
        <v>798</v>
      </c>
      <c r="K48" s="419" t="s">
        <v>798</v>
      </c>
      <c r="L48" s="419" t="s">
        <v>798</v>
      </c>
      <c r="M48" s="419" t="s">
        <v>298</v>
      </c>
      <c r="N48" s="419">
        <v>20.60802078</v>
      </c>
      <c r="O48" s="419">
        <v>93.035400390000007</v>
      </c>
      <c r="P48" s="419" t="s">
        <v>799</v>
      </c>
      <c r="Q48" s="419" t="s">
        <v>780</v>
      </c>
      <c r="R48" s="422"/>
      <c r="S48" s="423"/>
      <c r="T48" s="442"/>
      <c r="U48" s="424"/>
      <c r="V48" s="419"/>
      <c r="W48" s="419"/>
      <c r="X48" s="542"/>
      <c r="Y48" s="542"/>
      <c r="Z48" s="542"/>
    </row>
    <row r="49" spans="1:26" s="71" customFormat="1" ht="14.25" customHeight="1">
      <c r="A49" s="423" t="s">
        <v>2707</v>
      </c>
      <c r="B49" s="419" t="s">
        <v>306</v>
      </c>
      <c r="C49" s="419" t="s">
        <v>699</v>
      </c>
      <c r="D49" s="472" t="s">
        <v>1654</v>
      </c>
      <c r="E49" s="419">
        <v>196971</v>
      </c>
      <c r="F49" s="419"/>
      <c r="G49" s="419"/>
      <c r="H49" s="419"/>
      <c r="I49" s="419"/>
      <c r="J49" s="71" t="s">
        <v>798</v>
      </c>
      <c r="K49" s="71" t="s">
        <v>798</v>
      </c>
      <c r="L49" s="71" t="s">
        <v>798</v>
      </c>
      <c r="M49" s="419" t="s">
        <v>298</v>
      </c>
      <c r="N49" s="419">
        <v>20.716699599999998</v>
      </c>
      <c r="O49" s="419">
        <v>92.997863769999995</v>
      </c>
      <c r="P49" s="71" t="s">
        <v>799</v>
      </c>
      <c r="Q49" s="419" t="s">
        <v>780</v>
      </c>
      <c r="R49" s="422"/>
      <c r="S49" s="423"/>
      <c r="T49" s="442"/>
      <c r="U49" s="424"/>
      <c r="V49" s="419"/>
      <c r="X49" s="542"/>
      <c r="Y49" s="542"/>
      <c r="Z49" s="542"/>
    </row>
    <row r="50" spans="1:26" s="71" customFormat="1" ht="14.25" customHeight="1">
      <c r="A50" s="423" t="s">
        <v>2707</v>
      </c>
      <c r="B50" s="419" t="s">
        <v>306</v>
      </c>
      <c r="C50" s="419" t="s">
        <v>920</v>
      </c>
      <c r="D50" s="472" t="s">
        <v>1654</v>
      </c>
      <c r="E50" s="71">
        <v>196926</v>
      </c>
      <c r="J50" s="71" t="s">
        <v>798</v>
      </c>
      <c r="K50" s="71" t="s">
        <v>798</v>
      </c>
      <c r="L50" s="71" t="s">
        <v>798</v>
      </c>
      <c r="M50" s="71" t="s">
        <v>298</v>
      </c>
      <c r="N50" s="71">
        <v>20.644800190000002</v>
      </c>
      <c r="O50" s="71">
        <v>92.945426940000004</v>
      </c>
      <c r="P50" s="71" t="s">
        <v>799</v>
      </c>
      <c r="R50" s="422"/>
      <c r="S50" s="100"/>
      <c r="T50" s="105"/>
      <c r="U50" s="101"/>
      <c r="V50" s="71" t="s">
        <v>920</v>
      </c>
      <c r="X50" s="542"/>
      <c r="Y50" s="542"/>
      <c r="Z50" s="542"/>
    </row>
    <row r="51" spans="1:26" s="71" customFormat="1" ht="14.25" customHeight="1">
      <c r="A51" s="423" t="s">
        <v>2707</v>
      </c>
      <c r="B51" s="419" t="s">
        <v>306</v>
      </c>
      <c r="C51" s="419" t="s">
        <v>614</v>
      </c>
      <c r="D51" s="472" t="s">
        <v>2787</v>
      </c>
      <c r="E51" s="419" t="s">
        <v>1392</v>
      </c>
      <c r="F51" s="419" t="s">
        <v>1750</v>
      </c>
      <c r="G51" s="419" t="s">
        <v>618</v>
      </c>
      <c r="H51" s="419"/>
      <c r="I51" s="419"/>
      <c r="J51" s="419" t="s">
        <v>798</v>
      </c>
      <c r="K51" s="419" t="s">
        <v>798</v>
      </c>
      <c r="L51" s="419" t="s">
        <v>883</v>
      </c>
      <c r="M51" s="419" t="s">
        <v>795</v>
      </c>
      <c r="N51" s="419">
        <v>20.805734000000001</v>
      </c>
      <c r="O51" s="419">
        <v>92.982675999999998</v>
      </c>
      <c r="P51" s="419" t="s">
        <v>799</v>
      </c>
      <c r="Q51" s="419" t="s">
        <v>780</v>
      </c>
      <c r="R51" s="422">
        <v>18</v>
      </c>
      <c r="S51" s="423">
        <v>157</v>
      </c>
      <c r="T51" s="442"/>
      <c r="U51" s="424"/>
      <c r="V51" s="419" t="s">
        <v>614</v>
      </c>
      <c r="W51" s="419"/>
      <c r="X51" s="542"/>
      <c r="Y51" s="542"/>
      <c r="Z51" s="542"/>
    </row>
    <row r="52" spans="1:26" s="71" customFormat="1" ht="14.25" customHeight="1">
      <c r="A52" s="549" t="s">
        <v>2707</v>
      </c>
      <c r="B52" s="542" t="s">
        <v>306</v>
      </c>
      <c r="C52" s="542" t="s">
        <v>600</v>
      </c>
      <c r="D52" s="472" t="s">
        <v>1654</v>
      </c>
      <c r="E52" s="419">
        <v>196887</v>
      </c>
      <c r="J52" s="71" t="s">
        <v>804</v>
      </c>
      <c r="K52" s="71" t="s">
        <v>798</v>
      </c>
      <c r="L52" s="71" t="s">
        <v>804</v>
      </c>
      <c r="M52" s="71" t="s">
        <v>2010</v>
      </c>
      <c r="N52" s="71">
        <v>20.785770419999999</v>
      </c>
      <c r="O52" s="71">
        <v>92.931426999999999</v>
      </c>
      <c r="P52" s="71" t="s">
        <v>923</v>
      </c>
      <c r="Q52" s="71" t="s">
        <v>926</v>
      </c>
      <c r="R52" s="548"/>
      <c r="S52" s="423"/>
      <c r="T52" s="105">
        <v>43011</v>
      </c>
      <c r="U52" s="550" t="s">
        <v>927</v>
      </c>
      <c r="W52" s="542"/>
      <c r="X52" s="542"/>
      <c r="Y52" s="542"/>
      <c r="Z52" s="542"/>
    </row>
    <row r="53" spans="1:26" s="71" customFormat="1" ht="14.25" customHeight="1">
      <c r="A53" s="552" t="s">
        <v>2707</v>
      </c>
      <c r="B53" s="552" t="s">
        <v>306</v>
      </c>
      <c r="C53" s="553" t="s">
        <v>2833</v>
      </c>
      <c r="D53" s="547"/>
      <c r="E53" s="71" t="s">
        <v>2862</v>
      </c>
      <c r="J53" s="71" t="s">
        <v>2715</v>
      </c>
      <c r="K53" s="71" t="s">
        <v>2677</v>
      </c>
      <c r="L53" s="71" t="s">
        <v>2677</v>
      </c>
      <c r="R53" s="556"/>
      <c r="S53" s="423"/>
      <c r="T53" s="105">
        <v>43591</v>
      </c>
      <c r="U53" s="556"/>
      <c r="W53" s="548"/>
      <c r="X53" s="542"/>
      <c r="Y53" s="542"/>
      <c r="Z53" s="542"/>
    </row>
    <row r="54" spans="1:26" s="71" customFormat="1" ht="14.25" customHeight="1">
      <c r="A54" s="549" t="s">
        <v>2707</v>
      </c>
      <c r="B54" s="542" t="s">
        <v>306</v>
      </c>
      <c r="C54" s="542" t="s">
        <v>559</v>
      </c>
      <c r="D54" s="472" t="s">
        <v>1654</v>
      </c>
      <c r="E54" s="71">
        <v>196944</v>
      </c>
      <c r="J54" s="71" t="s">
        <v>804</v>
      </c>
      <c r="K54" s="71" t="s">
        <v>798</v>
      </c>
      <c r="L54" s="71" t="s">
        <v>804</v>
      </c>
      <c r="M54" s="71" t="s">
        <v>298</v>
      </c>
      <c r="N54" s="71">
        <v>20.71134949</v>
      </c>
      <c r="O54" s="71">
        <v>92.980506899999995</v>
      </c>
      <c r="P54" s="71" t="s">
        <v>923</v>
      </c>
      <c r="Q54" s="71" t="s">
        <v>926</v>
      </c>
      <c r="R54" s="548"/>
      <c r="S54" s="423"/>
      <c r="T54" s="105">
        <v>43011</v>
      </c>
      <c r="U54" s="550" t="s">
        <v>927</v>
      </c>
      <c r="W54" s="542"/>
      <c r="X54" s="542"/>
      <c r="Y54" s="542"/>
      <c r="Z54" s="542"/>
    </row>
    <row r="55" spans="1:26" s="71" customFormat="1" ht="14.25" customHeight="1">
      <c r="A55" s="552" t="s">
        <v>2707</v>
      </c>
      <c r="B55" s="552" t="s">
        <v>306</v>
      </c>
      <c r="C55" s="553" t="s">
        <v>2830</v>
      </c>
      <c r="D55" s="421"/>
      <c r="E55" s="542">
        <v>220632</v>
      </c>
      <c r="F55" s="542"/>
      <c r="G55" s="542"/>
      <c r="H55" s="542"/>
      <c r="I55" s="542"/>
      <c r="J55" s="542" t="s">
        <v>2715</v>
      </c>
      <c r="K55" s="542" t="s">
        <v>2677</v>
      </c>
      <c r="L55" s="542" t="s">
        <v>2677</v>
      </c>
      <c r="M55" s="542"/>
      <c r="N55" s="542">
        <v>20.746028900146499</v>
      </c>
      <c r="O55" s="542">
        <v>92.839714050292997</v>
      </c>
      <c r="P55" s="542"/>
      <c r="Q55" s="542"/>
      <c r="R55" s="556"/>
      <c r="S55" s="549"/>
      <c r="T55" s="568">
        <v>43591</v>
      </c>
      <c r="U55" s="556"/>
      <c r="V55" s="542"/>
      <c r="W55" s="422"/>
      <c r="X55" s="542"/>
      <c r="Y55" s="542"/>
      <c r="Z55" s="542"/>
    </row>
    <row r="56" spans="1:26" s="71" customFormat="1" ht="14.25" customHeight="1">
      <c r="A56" s="423" t="s">
        <v>2707</v>
      </c>
      <c r="B56" s="206" t="s">
        <v>306</v>
      </c>
      <c r="C56" s="207" t="s">
        <v>695</v>
      </c>
      <c r="D56" s="421" t="s">
        <v>1654</v>
      </c>
      <c r="E56" s="202">
        <v>196884</v>
      </c>
      <c r="F56" s="202"/>
      <c r="G56" s="202"/>
      <c r="H56" s="202"/>
      <c r="I56" s="202"/>
      <c r="J56" s="202" t="s">
        <v>804</v>
      </c>
      <c r="K56" s="202" t="s">
        <v>879</v>
      </c>
      <c r="L56" s="202" t="s">
        <v>804</v>
      </c>
      <c r="M56" s="202" t="s">
        <v>298</v>
      </c>
      <c r="N56" s="202">
        <v>20.786739350000001</v>
      </c>
      <c r="O56" s="202">
        <v>92.944313050000005</v>
      </c>
      <c r="P56" s="202" t="s">
        <v>923</v>
      </c>
      <c r="Q56" s="202" t="s">
        <v>780</v>
      </c>
      <c r="R56" s="203"/>
      <c r="S56" s="201"/>
      <c r="T56" s="204"/>
      <c r="U56" s="205"/>
      <c r="V56" s="202"/>
      <c r="W56" s="422"/>
      <c r="X56" s="542"/>
      <c r="Y56" s="542"/>
      <c r="Z56" s="542"/>
    </row>
    <row r="57" spans="1:26" s="71" customFormat="1" ht="14.25" customHeight="1">
      <c r="A57" s="423" t="s">
        <v>2707</v>
      </c>
      <c r="B57" s="198" t="s">
        <v>306</v>
      </c>
      <c r="C57" s="199" t="s">
        <v>2248</v>
      </c>
      <c r="D57" s="547"/>
      <c r="E57" s="194">
        <v>196813</v>
      </c>
      <c r="F57" s="194"/>
      <c r="G57" s="194"/>
      <c r="H57" s="194"/>
      <c r="I57" s="194"/>
      <c r="J57" s="194" t="s">
        <v>798</v>
      </c>
      <c r="K57" s="194" t="s">
        <v>798</v>
      </c>
      <c r="L57" s="194" t="s">
        <v>798</v>
      </c>
      <c r="M57" s="194"/>
      <c r="N57" s="194">
        <v>20.883239750000001</v>
      </c>
      <c r="O57" s="194">
        <v>92.936859130000002</v>
      </c>
      <c r="P57" s="194" t="s">
        <v>799</v>
      </c>
      <c r="Q57" s="194"/>
      <c r="R57" s="195"/>
      <c r="S57" s="193"/>
      <c r="T57" s="196"/>
      <c r="U57" s="197"/>
      <c r="V57" s="194" t="s">
        <v>2241</v>
      </c>
      <c r="W57" s="548"/>
      <c r="X57" s="542"/>
      <c r="Y57" s="542"/>
      <c r="Z57" s="542"/>
    </row>
    <row r="58" spans="1:26" s="71" customFormat="1" ht="14.25" customHeight="1">
      <c r="A58" s="423" t="s">
        <v>2707</v>
      </c>
      <c r="B58" s="419" t="s">
        <v>306</v>
      </c>
      <c r="C58" s="419" t="s">
        <v>620</v>
      </c>
      <c r="D58" s="472" t="s">
        <v>1654</v>
      </c>
      <c r="E58" s="71">
        <v>196881</v>
      </c>
      <c r="J58" s="71" t="s">
        <v>804</v>
      </c>
      <c r="K58" s="71" t="s">
        <v>798</v>
      </c>
      <c r="L58" s="71" t="s">
        <v>804</v>
      </c>
      <c r="M58" s="71" t="s">
        <v>2010</v>
      </c>
      <c r="N58" s="71">
        <v>20.809240339999999</v>
      </c>
      <c r="O58" s="71">
        <v>92.923919679999997</v>
      </c>
      <c r="P58" s="71" t="s">
        <v>923</v>
      </c>
      <c r="Q58" s="71" t="s">
        <v>926</v>
      </c>
      <c r="R58" s="422"/>
      <c r="S58" s="100"/>
      <c r="T58" s="105">
        <v>43011</v>
      </c>
      <c r="U58" s="101" t="s">
        <v>927</v>
      </c>
      <c r="W58" s="419"/>
      <c r="X58" s="542"/>
      <c r="Y58" s="542"/>
      <c r="Z58" s="542"/>
    </row>
    <row r="59" spans="1:26" s="71" customFormat="1" ht="14.25" customHeight="1">
      <c r="A59" s="549" t="s">
        <v>2707</v>
      </c>
      <c r="B59" s="542" t="s">
        <v>306</v>
      </c>
      <c r="C59" s="542" t="s">
        <v>943</v>
      </c>
      <c r="D59" s="472" t="s">
        <v>2787</v>
      </c>
      <c r="E59" s="71" t="s">
        <v>1399</v>
      </c>
      <c r="F59" s="71" t="s">
        <v>1752</v>
      </c>
      <c r="G59" s="71" t="s">
        <v>944</v>
      </c>
      <c r="H59" s="71" t="s">
        <v>42</v>
      </c>
      <c r="J59" s="71" t="s">
        <v>44</v>
      </c>
      <c r="K59" s="71" t="s">
        <v>44</v>
      </c>
      <c r="L59" s="71" t="s">
        <v>797</v>
      </c>
      <c r="M59" s="71" t="s">
        <v>795</v>
      </c>
      <c r="N59" s="419">
        <v>20.865687000000001</v>
      </c>
      <c r="O59" s="419">
        <v>92.965980999999999</v>
      </c>
      <c r="P59" s="71" t="s">
        <v>761</v>
      </c>
      <c r="Q59" s="71" t="s">
        <v>780</v>
      </c>
      <c r="R59" s="548">
        <v>85</v>
      </c>
      <c r="S59" s="423">
        <v>546</v>
      </c>
      <c r="T59" s="105"/>
      <c r="U59" s="550"/>
      <c r="V59" s="71" t="s">
        <v>944</v>
      </c>
      <c r="W59" s="542"/>
      <c r="X59" s="542"/>
      <c r="Y59" s="542"/>
      <c r="Z59" s="542"/>
    </row>
    <row r="60" spans="1:26" s="71" customFormat="1" ht="14.25" customHeight="1">
      <c r="A60" s="423" t="s">
        <v>2707</v>
      </c>
      <c r="B60" s="187" t="s">
        <v>306</v>
      </c>
      <c r="C60" s="187" t="s">
        <v>540</v>
      </c>
      <c r="D60" s="421" t="s">
        <v>1654</v>
      </c>
      <c r="E60" s="183">
        <v>196930</v>
      </c>
      <c r="F60" s="183"/>
      <c r="G60" s="183"/>
      <c r="H60" s="183"/>
      <c r="I60" s="183"/>
      <c r="J60" s="71" t="s">
        <v>804</v>
      </c>
      <c r="K60" s="419" t="s">
        <v>798</v>
      </c>
      <c r="L60" s="419" t="s">
        <v>804</v>
      </c>
      <c r="M60" s="183" t="s">
        <v>2009</v>
      </c>
      <c r="N60" s="183">
        <v>20.681715010000001</v>
      </c>
      <c r="O60" s="183">
        <v>92.94140625</v>
      </c>
      <c r="P60" s="71" t="s">
        <v>923</v>
      </c>
      <c r="Q60" s="183" t="s">
        <v>926</v>
      </c>
      <c r="R60" s="184"/>
      <c r="S60" s="182"/>
      <c r="T60" s="185">
        <v>43011</v>
      </c>
      <c r="U60" s="186" t="s">
        <v>927</v>
      </c>
      <c r="V60" s="183"/>
      <c r="W60" s="419"/>
      <c r="X60" s="542"/>
      <c r="Y60" s="542"/>
      <c r="Z60" s="542"/>
    </row>
    <row r="61" spans="1:26" s="71" customFormat="1" ht="14.25" customHeight="1">
      <c r="A61" s="423" t="s">
        <v>2707</v>
      </c>
      <c r="B61" s="419" t="s">
        <v>306</v>
      </c>
      <c r="C61" s="419" t="s">
        <v>660</v>
      </c>
      <c r="D61" s="472" t="s">
        <v>1654</v>
      </c>
      <c r="E61" s="71">
        <v>196787</v>
      </c>
      <c r="J61" s="71" t="s">
        <v>798</v>
      </c>
      <c r="K61" s="71" t="s">
        <v>798</v>
      </c>
      <c r="L61" s="71" t="s">
        <v>798</v>
      </c>
      <c r="M61" s="71" t="s">
        <v>795</v>
      </c>
      <c r="N61" s="71">
        <v>20.90377045</v>
      </c>
      <c r="O61" s="419">
        <v>93.004432679999994</v>
      </c>
      <c r="P61" s="71" t="s">
        <v>799</v>
      </c>
      <c r="Q61" s="71" t="s">
        <v>780</v>
      </c>
      <c r="R61" s="422"/>
      <c r="S61" s="423"/>
      <c r="T61" s="105"/>
      <c r="U61" s="101"/>
      <c r="V61" s="71" t="s">
        <v>660</v>
      </c>
      <c r="X61" s="542"/>
      <c r="Y61" s="542"/>
      <c r="Z61" s="542"/>
    </row>
    <row r="62" spans="1:26" s="71" customFormat="1" ht="14.25" customHeight="1">
      <c r="A62" s="426" t="s">
        <v>2707</v>
      </c>
      <c r="B62" s="426" t="s">
        <v>306</v>
      </c>
      <c r="C62" s="427" t="s">
        <v>2834</v>
      </c>
      <c r="D62" s="421"/>
      <c r="E62" s="71" t="s">
        <v>2863</v>
      </c>
      <c r="J62" s="71" t="s">
        <v>2715</v>
      </c>
      <c r="K62" s="71" t="s">
        <v>2677</v>
      </c>
      <c r="L62" s="71" t="s">
        <v>2677</v>
      </c>
      <c r="R62" s="430"/>
      <c r="S62" s="423"/>
      <c r="T62" s="105">
        <v>43591</v>
      </c>
      <c r="U62" s="430"/>
      <c r="W62" s="422"/>
      <c r="X62" s="542"/>
      <c r="Y62" s="542"/>
      <c r="Z62" s="542"/>
    </row>
    <row r="63" spans="1:26" s="71" customFormat="1" ht="14.25" customHeight="1">
      <c r="A63" s="423" t="s">
        <v>2707</v>
      </c>
      <c r="B63" s="198" t="s">
        <v>306</v>
      </c>
      <c r="C63" s="199" t="s">
        <v>337</v>
      </c>
      <c r="D63" s="421" t="s">
        <v>1654</v>
      </c>
      <c r="E63" s="194"/>
      <c r="F63" s="194"/>
      <c r="G63" s="194"/>
      <c r="H63" s="194"/>
      <c r="I63" s="194"/>
      <c r="J63" s="194" t="s">
        <v>804</v>
      </c>
      <c r="K63" s="194" t="s">
        <v>798</v>
      </c>
      <c r="L63" s="194" t="s">
        <v>804</v>
      </c>
      <c r="M63" s="194" t="s">
        <v>2010</v>
      </c>
      <c r="N63" s="194"/>
      <c r="O63" s="194"/>
      <c r="P63" s="194" t="s">
        <v>923</v>
      </c>
      <c r="Q63" s="194" t="s">
        <v>926</v>
      </c>
      <c r="R63" s="195"/>
      <c r="S63" s="193"/>
      <c r="T63" s="196">
        <v>43011</v>
      </c>
      <c r="U63" s="197" t="s">
        <v>927</v>
      </c>
      <c r="V63" s="194"/>
      <c r="W63" s="422"/>
      <c r="X63" s="542"/>
      <c r="Y63" s="542"/>
      <c r="Z63" s="542"/>
    </row>
    <row r="64" spans="1:26" s="71" customFormat="1" ht="14.25" customHeight="1">
      <c r="A64" s="423" t="s">
        <v>2707</v>
      </c>
      <c r="B64" s="419" t="s">
        <v>306</v>
      </c>
      <c r="C64" s="419" t="s">
        <v>1134</v>
      </c>
      <c r="D64" s="472" t="s">
        <v>1654</v>
      </c>
      <c r="E64" s="419">
        <v>196759</v>
      </c>
      <c r="J64" s="71" t="s">
        <v>798</v>
      </c>
      <c r="K64" s="71" t="s">
        <v>798</v>
      </c>
      <c r="L64" s="71" t="s">
        <v>798</v>
      </c>
      <c r="M64" s="71" t="s">
        <v>2010</v>
      </c>
      <c r="O64" s="419"/>
      <c r="P64" s="71" t="s">
        <v>799</v>
      </c>
      <c r="R64" s="422"/>
      <c r="S64" s="100"/>
      <c r="T64" s="105"/>
      <c r="U64" s="101"/>
      <c r="V64" s="71" t="s">
        <v>1134</v>
      </c>
      <c r="W64" s="419"/>
      <c r="X64" s="542"/>
      <c r="Y64" s="542"/>
      <c r="Z64" s="542"/>
    </row>
    <row r="65" spans="1:26" s="71" customFormat="1" ht="14.25" customHeight="1">
      <c r="A65" s="423" t="s">
        <v>2707</v>
      </c>
      <c r="B65" s="426" t="s">
        <v>306</v>
      </c>
      <c r="C65" s="427" t="s">
        <v>2008</v>
      </c>
      <c r="D65" s="421" t="s">
        <v>1654</v>
      </c>
      <c r="J65" s="71" t="s">
        <v>804</v>
      </c>
      <c r="K65" s="71" t="s">
        <v>798</v>
      </c>
      <c r="L65" s="71" t="s">
        <v>804</v>
      </c>
      <c r="M65" s="71" t="s">
        <v>298</v>
      </c>
      <c r="P65" s="71" t="s">
        <v>923</v>
      </c>
      <c r="Q65" s="71" t="s">
        <v>926</v>
      </c>
      <c r="R65" s="430"/>
      <c r="S65" s="423"/>
      <c r="T65" s="105">
        <v>43011</v>
      </c>
      <c r="U65" s="101" t="s">
        <v>927</v>
      </c>
      <c r="W65" s="419"/>
      <c r="X65" s="542"/>
      <c r="Y65" s="542"/>
      <c r="Z65" s="542"/>
    </row>
    <row r="66" spans="1:26" s="71" customFormat="1" ht="14.25" customHeight="1">
      <c r="A66" s="423" t="s">
        <v>2707</v>
      </c>
      <c r="B66" s="426" t="s">
        <v>306</v>
      </c>
      <c r="C66" s="427" t="s">
        <v>340</v>
      </c>
      <c r="D66" s="421" t="s">
        <v>1654</v>
      </c>
      <c r="E66" s="419">
        <v>196815</v>
      </c>
      <c r="F66" s="419"/>
      <c r="G66" s="419"/>
      <c r="H66" s="419"/>
      <c r="I66" s="419"/>
      <c r="J66" s="71" t="s">
        <v>804</v>
      </c>
      <c r="K66" s="419" t="s">
        <v>798</v>
      </c>
      <c r="L66" s="419" t="s">
        <v>804</v>
      </c>
      <c r="M66" s="71" t="s">
        <v>2007</v>
      </c>
      <c r="N66" s="419"/>
      <c r="O66" s="419"/>
      <c r="P66" s="71" t="s">
        <v>923</v>
      </c>
      <c r="Q66" s="71" t="s">
        <v>926</v>
      </c>
      <c r="R66" s="430"/>
      <c r="S66" s="100"/>
      <c r="T66" s="105">
        <v>43011</v>
      </c>
      <c r="U66" s="101" t="s">
        <v>927</v>
      </c>
      <c r="X66" s="542"/>
      <c r="Y66" s="542"/>
      <c r="Z66" s="542"/>
    </row>
    <row r="67" spans="1:26" s="71" customFormat="1" ht="14.25" customHeight="1">
      <c r="A67" s="423" t="s">
        <v>2707</v>
      </c>
      <c r="B67" s="426" t="s">
        <v>306</v>
      </c>
      <c r="C67" s="427" t="s">
        <v>2252</v>
      </c>
      <c r="D67" s="421"/>
      <c r="E67" s="419">
        <v>196889</v>
      </c>
      <c r="F67" s="419"/>
      <c r="G67" s="419"/>
      <c r="H67" s="419"/>
      <c r="I67" s="419"/>
      <c r="J67" s="71" t="s">
        <v>798</v>
      </c>
      <c r="K67" s="419" t="s">
        <v>798</v>
      </c>
      <c r="L67" s="419" t="s">
        <v>798</v>
      </c>
      <c r="M67" s="419"/>
      <c r="N67" s="419">
        <v>20.785549159999999</v>
      </c>
      <c r="O67" s="419">
        <v>92.971076969999999</v>
      </c>
      <c r="P67" s="71" t="s">
        <v>799</v>
      </c>
      <c r="Q67" s="419"/>
      <c r="R67" s="430"/>
      <c r="S67" s="423"/>
      <c r="T67" s="442"/>
      <c r="U67" s="424"/>
      <c r="V67" s="419" t="s">
        <v>2245</v>
      </c>
      <c r="X67" s="542"/>
      <c r="Y67" s="542"/>
      <c r="Z67" s="542"/>
    </row>
    <row r="68" spans="1:26" s="71" customFormat="1" ht="14.25" customHeight="1">
      <c r="A68" s="423" t="s">
        <v>2707</v>
      </c>
      <c r="B68" s="426" t="s">
        <v>306</v>
      </c>
      <c r="C68" s="427" t="s">
        <v>2307</v>
      </c>
      <c r="D68" s="421"/>
      <c r="E68" s="71">
        <v>196939</v>
      </c>
      <c r="F68" s="71" t="s">
        <v>2302</v>
      </c>
      <c r="J68" s="71" t="s">
        <v>798</v>
      </c>
      <c r="K68" s="71" t="s">
        <v>798</v>
      </c>
      <c r="L68" s="71" t="s">
        <v>798</v>
      </c>
      <c r="N68" s="71">
        <v>20.648920059999998</v>
      </c>
      <c r="O68" s="71">
        <v>92.967460630000005</v>
      </c>
      <c r="P68" s="71" t="s">
        <v>799</v>
      </c>
      <c r="Q68" s="71" t="s">
        <v>2261</v>
      </c>
      <c r="R68" s="430"/>
      <c r="S68" s="100"/>
      <c r="T68" s="105">
        <v>43465</v>
      </c>
      <c r="U68" s="101" t="s">
        <v>2304</v>
      </c>
      <c r="V68" s="71" t="s">
        <v>2301</v>
      </c>
      <c r="X68" s="542"/>
      <c r="Y68" s="542"/>
      <c r="Z68" s="542"/>
    </row>
    <row r="69" spans="1:26" s="71" customFormat="1" ht="14.25" customHeight="1">
      <c r="A69" s="423" t="s">
        <v>2707</v>
      </c>
      <c r="B69" s="426" t="s">
        <v>306</v>
      </c>
      <c r="C69" s="427" t="s">
        <v>657</v>
      </c>
      <c r="D69" s="421" t="s">
        <v>1654</v>
      </c>
      <c r="E69" s="419">
        <v>196814</v>
      </c>
      <c r="F69" s="419"/>
      <c r="G69" s="419"/>
      <c r="H69" s="419"/>
      <c r="I69" s="419"/>
      <c r="J69" s="71" t="s">
        <v>804</v>
      </c>
      <c r="K69" s="71" t="s">
        <v>798</v>
      </c>
      <c r="L69" s="419" t="s">
        <v>804</v>
      </c>
      <c r="M69" s="419" t="s">
        <v>298</v>
      </c>
      <c r="N69" s="419">
        <v>20.894269940000001</v>
      </c>
      <c r="O69" s="419">
        <v>92.920730590000005</v>
      </c>
      <c r="P69" s="419" t="s">
        <v>923</v>
      </c>
      <c r="Q69" s="419" t="s">
        <v>926</v>
      </c>
      <c r="R69" s="430"/>
      <c r="S69" s="423"/>
      <c r="T69" s="442">
        <v>43011</v>
      </c>
      <c r="U69" s="424" t="s">
        <v>927</v>
      </c>
      <c r="V69" s="419"/>
      <c r="W69" s="419"/>
      <c r="X69" s="542"/>
      <c r="Y69" s="542"/>
      <c r="Z69" s="542"/>
    </row>
    <row r="70" spans="1:26" s="71" customFormat="1" ht="14.25" customHeight="1">
      <c r="A70" s="423" t="s">
        <v>2707</v>
      </c>
      <c r="B70" s="419" t="s">
        <v>306</v>
      </c>
      <c r="C70" s="419" t="s">
        <v>2239</v>
      </c>
      <c r="D70" s="472"/>
      <c r="E70" s="419"/>
      <c r="F70" s="419"/>
      <c r="G70" s="419"/>
      <c r="H70" s="419"/>
      <c r="I70" s="419"/>
      <c r="J70" s="419" t="s">
        <v>798</v>
      </c>
      <c r="K70" s="419" t="s">
        <v>798</v>
      </c>
      <c r="L70" s="419" t="s">
        <v>798</v>
      </c>
      <c r="M70" s="419"/>
      <c r="N70" s="419">
        <v>20.889249800000002</v>
      </c>
      <c r="O70" s="419">
        <v>92.939201350000005</v>
      </c>
      <c r="P70" s="419" t="s">
        <v>799</v>
      </c>
      <c r="Q70" s="419"/>
      <c r="R70" s="422"/>
      <c r="S70" s="423"/>
      <c r="T70" s="442"/>
      <c r="U70" s="424"/>
      <c r="V70" s="419" t="s">
        <v>2239</v>
      </c>
      <c r="W70" s="419"/>
      <c r="X70" s="542"/>
      <c r="Y70" s="542"/>
      <c r="Z70" s="542"/>
    </row>
    <row r="71" spans="1:26" s="71" customFormat="1" ht="14.25" customHeight="1">
      <c r="A71" s="423" t="s">
        <v>2707</v>
      </c>
      <c r="B71" s="419" t="s">
        <v>306</v>
      </c>
      <c r="C71" s="419" t="s">
        <v>698</v>
      </c>
      <c r="D71" s="472" t="s">
        <v>1654</v>
      </c>
      <c r="E71" s="71">
        <v>196929</v>
      </c>
      <c r="J71" s="71" t="s">
        <v>804</v>
      </c>
      <c r="K71" s="71" t="s">
        <v>798</v>
      </c>
      <c r="L71" s="71" t="s">
        <v>804</v>
      </c>
      <c r="M71" s="71" t="s">
        <v>298</v>
      </c>
      <c r="N71" s="434">
        <v>20.67705917</v>
      </c>
      <c r="O71" s="434">
        <v>92.953247070000003</v>
      </c>
      <c r="P71" s="71" t="s">
        <v>923</v>
      </c>
      <c r="Q71" s="71" t="s">
        <v>780</v>
      </c>
      <c r="R71" s="99"/>
      <c r="S71" s="423"/>
      <c r="T71" s="105"/>
      <c r="U71" s="101"/>
      <c r="X71" s="542"/>
      <c r="Y71" s="542"/>
      <c r="Z71" s="542"/>
    </row>
    <row r="72" spans="1:26" s="71" customFormat="1" ht="14.25" customHeight="1">
      <c r="A72" s="423" t="s">
        <v>2707</v>
      </c>
      <c r="B72" s="419" t="s">
        <v>306</v>
      </c>
      <c r="C72" s="419" t="s">
        <v>697</v>
      </c>
      <c r="D72" s="472" t="s">
        <v>1654</v>
      </c>
      <c r="E72" s="419">
        <v>196927</v>
      </c>
      <c r="F72" s="419" t="s">
        <v>697</v>
      </c>
      <c r="G72" s="419"/>
      <c r="H72" s="419"/>
      <c r="I72" s="419"/>
      <c r="J72" s="71" t="s">
        <v>798</v>
      </c>
      <c r="K72" s="71" t="s">
        <v>798</v>
      </c>
      <c r="L72" s="419" t="s">
        <v>798</v>
      </c>
      <c r="M72" s="419" t="s">
        <v>298</v>
      </c>
      <c r="N72" s="419">
        <v>20.697889329999999</v>
      </c>
      <c r="O72" s="419">
        <v>92.951232910000002</v>
      </c>
      <c r="P72" s="419" t="s">
        <v>799</v>
      </c>
      <c r="Q72" s="419" t="s">
        <v>780</v>
      </c>
      <c r="R72" s="422"/>
      <c r="S72" s="423"/>
      <c r="T72" s="442">
        <v>43465</v>
      </c>
      <c r="U72" s="424" t="s">
        <v>2304</v>
      </c>
      <c r="V72" s="419" t="s">
        <v>2303</v>
      </c>
      <c r="W72" s="419"/>
      <c r="X72" s="542"/>
      <c r="Y72" s="542"/>
      <c r="Z72" s="542"/>
    </row>
    <row r="73" spans="1:26" s="71" customFormat="1" ht="14.25" customHeight="1">
      <c r="A73" s="423" t="s">
        <v>2707</v>
      </c>
      <c r="B73" s="420" t="s">
        <v>306</v>
      </c>
      <c r="C73" s="420" t="s">
        <v>2249</v>
      </c>
      <c r="D73" s="472"/>
      <c r="E73" s="71">
        <v>220647</v>
      </c>
      <c r="J73" s="71" t="s">
        <v>798</v>
      </c>
      <c r="K73" s="71" t="s">
        <v>798</v>
      </c>
      <c r="L73" s="71" t="s">
        <v>798</v>
      </c>
      <c r="P73" s="71" t="s">
        <v>799</v>
      </c>
      <c r="R73" s="426"/>
      <c r="S73" s="427"/>
      <c r="T73" s="105"/>
      <c r="U73" s="101"/>
      <c r="V73" s="71" t="s">
        <v>2242</v>
      </c>
      <c r="W73" s="419"/>
      <c r="X73" s="542"/>
      <c r="Y73" s="542"/>
      <c r="Z73" s="542"/>
    </row>
    <row r="74" spans="1:26" s="71" customFormat="1" ht="14.25" customHeight="1">
      <c r="A74" s="423" t="s">
        <v>2707</v>
      </c>
      <c r="B74" s="420" t="s">
        <v>306</v>
      </c>
      <c r="C74" s="420" t="s">
        <v>2250</v>
      </c>
      <c r="D74" s="472"/>
      <c r="E74" s="71">
        <v>196755</v>
      </c>
      <c r="J74" s="71" t="s">
        <v>798</v>
      </c>
      <c r="K74" s="71" t="s">
        <v>798</v>
      </c>
      <c r="L74" s="71" t="s">
        <v>798</v>
      </c>
      <c r="N74" s="71">
        <v>20.932960510000001</v>
      </c>
      <c r="O74" s="71">
        <v>92.930267330000007</v>
      </c>
      <c r="P74" s="71" t="s">
        <v>799</v>
      </c>
      <c r="R74" s="422"/>
      <c r="S74" s="100"/>
      <c r="T74" s="105"/>
      <c r="U74" s="101"/>
      <c r="V74" s="71" t="s">
        <v>2243</v>
      </c>
      <c r="W74" s="419"/>
      <c r="X74" s="542"/>
      <c r="Y74" s="542"/>
      <c r="Z74" s="542"/>
    </row>
    <row r="75" spans="1:26" s="71" customFormat="1" ht="14.25" customHeight="1">
      <c r="A75" s="423" t="s">
        <v>2707</v>
      </c>
      <c r="B75" s="426" t="s">
        <v>306</v>
      </c>
      <c r="C75" s="427" t="s">
        <v>347</v>
      </c>
      <c r="D75" s="421" t="s">
        <v>1654</v>
      </c>
      <c r="J75" s="71" t="s">
        <v>798</v>
      </c>
      <c r="K75" s="71" t="s">
        <v>798</v>
      </c>
      <c r="L75" s="71" t="s">
        <v>798</v>
      </c>
      <c r="M75" s="71" t="s">
        <v>298</v>
      </c>
      <c r="P75" s="71" t="s">
        <v>799</v>
      </c>
      <c r="Q75" s="71" t="s">
        <v>780</v>
      </c>
      <c r="R75" s="430"/>
      <c r="S75" s="423"/>
      <c r="T75" s="105"/>
      <c r="U75" s="101"/>
      <c r="X75" s="542"/>
      <c r="Y75" s="542"/>
      <c r="Z75" s="542"/>
    </row>
    <row r="76" spans="1:26" s="71" customFormat="1" ht="14.25" customHeight="1">
      <c r="A76" s="423" t="s">
        <v>2707</v>
      </c>
      <c r="B76" s="426" t="s">
        <v>306</v>
      </c>
      <c r="C76" s="427" t="s">
        <v>634</v>
      </c>
      <c r="D76" s="421" t="s">
        <v>1654</v>
      </c>
      <c r="E76" s="419">
        <v>196880</v>
      </c>
      <c r="F76" s="419"/>
      <c r="G76" s="419"/>
      <c r="H76" s="419"/>
      <c r="I76" s="419"/>
      <c r="J76" s="419" t="s">
        <v>804</v>
      </c>
      <c r="K76" s="419" t="s">
        <v>798</v>
      </c>
      <c r="L76" s="419" t="s">
        <v>804</v>
      </c>
      <c r="M76" s="419" t="s">
        <v>2010</v>
      </c>
      <c r="N76" s="419">
        <v>20.831729889999998</v>
      </c>
      <c r="O76" s="420">
        <v>92.919639590000003</v>
      </c>
      <c r="P76" s="419" t="s">
        <v>923</v>
      </c>
      <c r="Q76" s="419" t="s">
        <v>926</v>
      </c>
      <c r="R76" s="430"/>
      <c r="S76" s="423"/>
      <c r="T76" s="442">
        <v>43011</v>
      </c>
      <c r="U76" s="424" t="s">
        <v>927</v>
      </c>
      <c r="V76" s="419"/>
      <c r="W76" s="419"/>
      <c r="X76" s="542"/>
      <c r="Y76" s="542"/>
      <c r="Z76" s="542"/>
    </row>
    <row r="77" spans="1:26" s="71" customFormat="1" ht="14.25" customHeight="1">
      <c r="A77" s="423" t="s">
        <v>2707</v>
      </c>
      <c r="B77" s="426" t="s">
        <v>306</v>
      </c>
      <c r="C77" s="427" t="s">
        <v>597</v>
      </c>
      <c r="D77" s="472" t="s">
        <v>2787</v>
      </c>
      <c r="E77" s="71" t="s">
        <v>1391</v>
      </c>
      <c r="F77" s="71" t="s">
        <v>1748</v>
      </c>
      <c r="G77" s="71" t="s">
        <v>1749</v>
      </c>
      <c r="J77" s="71" t="s">
        <v>798</v>
      </c>
      <c r="K77" s="419" t="s">
        <v>798</v>
      </c>
      <c r="L77" s="419" t="s">
        <v>883</v>
      </c>
      <c r="M77" s="71" t="s">
        <v>795</v>
      </c>
      <c r="N77" s="71">
        <v>20.78332</v>
      </c>
      <c r="O77" s="71">
        <v>92.987399999999994</v>
      </c>
      <c r="P77" s="71" t="s">
        <v>799</v>
      </c>
      <c r="Q77" s="71" t="s">
        <v>780</v>
      </c>
      <c r="R77" s="99">
        <v>144</v>
      </c>
      <c r="S77" s="423">
        <v>1006</v>
      </c>
      <c r="T77" s="105"/>
      <c r="U77" s="101"/>
      <c r="V77" s="71" t="s">
        <v>597</v>
      </c>
      <c r="W77" s="419"/>
      <c r="X77" s="542"/>
      <c r="Y77" s="542"/>
      <c r="Z77" s="542"/>
    </row>
    <row r="78" spans="1:26" s="71" customFormat="1" ht="14.25" customHeight="1">
      <c r="A78" s="423" t="s">
        <v>2707</v>
      </c>
      <c r="B78" s="420" t="s">
        <v>306</v>
      </c>
      <c r="C78" s="420" t="s">
        <v>599</v>
      </c>
      <c r="D78" s="472" t="s">
        <v>1654</v>
      </c>
      <c r="E78" s="71">
        <v>196869</v>
      </c>
      <c r="J78" s="71" t="s">
        <v>798</v>
      </c>
      <c r="K78" s="419" t="s">
        <v>798</v>
      </c>
      <c r="L78" s="419" t="s">
        <v>798</v>
      </c>
      <c r="M78" s="71" t="s">
        <v>298</v>
      </c>
      <c r="N78" s="434">
        <v>20.785699839999999</v>
      </c>
      <c r="O78" s="434">
        <v>92.986633299999994</v>
      </c>
      <c r="P78" s="71" t="s">
        <v>799</v>
      </c>
      <c r="Q78" s="71" t="s">
        <v>780</v>
      </c>
      <c r="R78" s="422"/>
      <c r="S78" s="423"/>
      <c r="T78" s="105"/>
      <c r="U78" s="101"/>
      <c r="V78" s="71" t="s">
        <v>599</v>
      </c>
      <c r="X78" s="542"/>
      <c r="Y78" s="542"/>
      <c r="Z78" s="542"/>
    </row>
    <row r="79" spans="1:26" s="71" customFormat="1" ht="14.25" customHeight="1">
      <c r="A79" s="423" t="s">
        <v>2707</v>
      </c>
      <c r="B79" s="426" t="s">
        <v>306</v>
      </c>
      <c r="C79" s="427" t="s">
        <v>950</v>
      </c>
      <c r="D79" s="472" t="s">
        <v>2787</v>
      </c>
      <c r="E79" s="71" t="s">
        <v>1403</v>
      </c>
      <c r="F79" s="71" t="s">
        <v>1859</v>
      </c>
      <c r="G79" s="71" t="s">
        <v>1860</v>
      </c>
      <c r="J79" s="71" t="s">
        <v>798</v>
      </c>
      <c r="K79" s="71" t="s">
        <v>798</v>
      </c>
      <c r="L79" s="71" t="s">
        <v>883</v>
      </c>
      <c r="M79" s="71" t="s">
        <v>795</v>
      </c>
      <c r="N79" s="71">
        <v>20.929649000000001</v>
      </c>
      <c r="O79" s="71">
        <v>93.000815000000003</v>
      </c>
      <c r="P79" s="71" t="s">
        <v>799</v>
      </c>
      <c r="R79" s="422">
        <v>63</v>
      </c>
      <c r="S79" s="100">
        <v>414</v>
      </c>
      <c r="T79" s="105"/>
      <c r="U79" s="101" t="s">
        <v>860</v>
      </c>
      <c r="V79" s="71" t="s">
        <v>950</v>
      </c>
      <c r="X79" s="542"/>
      <c r="Y79" s="542"/>
      <c r="Z79" s="542"/>
    </row>
    <row r="80" spans="1:26" s="71" customFormat="1" ht="14.25" customHeight="1">
      <c r="A80" s="423" t="s">
        <v>2707</v>
      </c>
      <c r="B80" s="420" t="s">
        <v>306</v>
      </c>
      <c r="C80" s="420" t="s">
        <v>694</v>
      </c>
      <c r="D80" s="472" t="s">
        <v>1654</v>
      </c>
      <c r="E80" s="71">
        <v>196823</v>
      </c>
      <c r="J80" s="71" t="s">
        <v>804</v>
      </c>
      <c r="K80" s="71" t="s">
        <v>798</v>
      </c>
      <c r="L80" s="71" t="s">
        <v>804</v>
      </c>
      <c r="M80" s="71" t="s">
        <v>795</v>
      </c>
      <c r="N80" s="71">
        <v>20.85956955</v>
      </c>
      <c r="O80" s="71">
        <v>92.941146849999996</v>
      </c>
      <c r="P80" s="71" t="s">
        <v>923</v>
      </c>
      <c r="Q80" s="71" t="s">
        <v>780</v>
      </c>
      <c r="R80" s="422"/>
      <c r="S80" s="100"/>
      <c r="T80" s="105"/>
      <c r="U80" s="101"/>
      <c r="W80" s="419"/>
      <c r="X80" s="542"/>
      <c r="Y80" s="542"/>
      <c r="Z80" s="542"/>
    </row>
    <row r="81" spans="1:26" s="71" customFormat="1" ht="14.25" customHeight="1">
      <c r="A81" s="423" t="s">
        <v>2707</v>
      </c>
      <c r="B81" s="420" t="s">
        <v>306</v>
      </c>
      <c r="C81" s="420" t="s">
        <v>642</v>
      </c>
      <c r="D81" s="472" t="s">
        <v>1654</v>
      </c>
      <c r="E81" s="71">
        <v>196817</v>
      </c>
      <c r="J81" s="71" t="s">
        <v>804</v>
      </c>
      <c r="K81" s="71" t="s">
        <v>798</v>
      </c>
      <c r="L81" s="71" t="s">
        <v>804</v>
      </c>
      <c r="M81" s="71" t="s">
        <v>795</v>
      </c>
      <c r="N81" s="71">
        <v>20.864519120000001</v>
      </c>
      <c r="O81" s="71">
        <v>92.940399170000006</v>
      </c>
      <c r="P81" s="71" t="s">
        <v>923</v>
      </c>
      <c r="Q81" s="71" t="s">
        <v>926</v>
      </c>
      <c r="R81" s="422"/>
      <c r="S81" s="100"/>
      <c r="T81" s="105">
        <v>43011</v>
      </c>
      <c r="U81" s="101" t="s">
        <v>927</v>
      </c>
      <c r="X81" s="542"/>
      <c r="Y81" s="542"/>
      <c r="Z81" s="542"/>
    </row>
    <row r="82" spans="1:26" s="71" customFormat="1" ht="14.25" customHeight="1">
      <c r="A82" s="423" t="s">
        <v>2707</v>
      </c>
      <c r="B82" s="426" t="s">
        <v>306</v>
      </c>
      <c r="C82" s="427" t="s">
        <v>2011</v>
      </c>
      <c r="D82" s="421" t="s">
        <v>1654</v>
      </c>
      <c r="E82" s="71">
        <v>196818</v>
      </c>
      <c r="J82" s="71" t="s">
        <v>804</v>
      </c>
      <c r="K82" s="71" t="s">
        <v>798</v>
      </c>
      <c r="L82" s="71" t="s">
        <v>804</v>
      </c>
      <c r="M82" s="71" t="s">
        <v>795</v>
      </c>
      <c r="P82" s="71" t="s">
        <v>923</v>
      </c>
      <c r="Q82" s="71" t="s">
        <v>926</v>
      </c>
      <c r="R82" s="430"/>
      <c r="S82" s="423"/>
      <c r="T82" s="105">
        <v>43011</v>
      </c>
      <c r="U82" s="101" t="s">
        <v>927</v>
      </c>
      <c r="X82" s="542"/>
      <c r="Y82" s="542"/>
      <c r="Z82" s="542"/>
    </row>
    <row r="83" spans="1:26" s="71" customFormat="1" ht="14.25" customHeight="1">
      <c r="A83" s="423" t="s">
        <v>2707</v>
      </c>
      <c r="B83" s="426" t="s">
        <v>306</v>
      </c>
      <c r="C83" s="427" t="s">
        <v>2795</v>
      </c>
      <c r="D83" s="421"/>
      <c r="E83" s="71">
        <v>196911</v>
      </c>
      <c r="J83" s="71" t="s">
        <v>2715</v>
      </c>
      <c r="K83" s="71" t="s">
        <v>2677</v>
      </c>
      <c r="L83" s="71" t="s">
        <v>2677</v>
      </c>
      <c r="N83" s="71">
        <v>20.674160003662099</v>
      </c>
      <c r="O83" s="71">
        <v>92.9078369140625</v>
      </c>
      <c r="R83" s="430"/>
      <c r="S83" s="423"/>
      <c r="T83" s="105">
        <v>43591</v>
      </c>
      <c r="U83" s="430"/>
      <c r="W83" s="422"/>
      <c r="X83" s="542"/>
      <c r="Y83" s="542"/>
      <c r="Z83" s="542"/>
    </row>
    <row r="84" spans="1:26" s="71" customFormat="1" ht="14.25" customHeight="1">
      <c r="A84" s="423" t="s">
        <v>2707</v>
      </c>
      <c r="B84" s="420" t="s">
        <v>306</v>
      </c>
      <c r="C84" s="420" t="s">
        <v>618</v>
      </c>
      <c r="D84" s="472" t="s">
        <v>1654</v>
      </c>
      <c r="E84" s="71">
        <v>196873</v>
      </c>
      <c r="F84" s="425"/>
      <c r="J84" s="71" t="s">
        <v>798</v>
      </c>
      <c r="K84" s="71" t="s">
        <v>798</v>
      </c>
      <c r="L84" s="71" t="s">
        <v>798</v>
      </c>
      <c r="M84" s="71" t="s">
        <v>298</v>
      </c>
      <c r="N84" s="71">
        <v>20.8064003</v>
      </c>
      <c r="O84" s="71">
        <v>92.982147220000002</v>
      </c>
      <c r="P84" s="71" t="s">
        <v>799</v>
      </c>
      <c r="Q84" s="71" t="s">
        <v>780</v>
      </c>
      <c r="R84" s="422"/>
      <c r="S84" s="423"/>
      <c r="T84" s="105"/>
      <c r="U84" s="101"/>
      <c r="V84" s="71" t="s">
        <v>618</v>
      </c>
      <c r="W84" s="419"/>
      <c r="X84" s="542"/>
      <c r="Y84" s="542"/>
      <c r="Z84" s="542"/>
    </row>
    <row r="85" spans="1:26" s="71" customFormat="1" ht="14.25" customHeight="1">
      <c r="A85" s="423" t="s">
        <v>2707</v>
      </c>
      <c r="B85" s="198" t="s">
        <v>306</v>
      </c>
      <c r="C85" s="199" t="s">
        <v>2589</v>
      </c>
      <c r="D85" s="421"/>
      <c r="E85" s="194">
        <v>196673</v>
      </c>
      <c r="F85" s="194"/>
      <c r="G85" s="194"/>
      <c r="H85" s="194"/>
      <c r="I85" s="194"/>
      <c r="J85" s="71" t="s">
        <v>2715</v>
      </c>
      <c r="K85" s="71" t="s">
        <v>2677</v>
      </c>
      <c r="L85" s="194" t="s">
        <v>2677</v>
      </c>
      <c r="M85" s="194"/>
      <c r="N85" s="194"/>
      <c r="O85" s="194"/>
      <c r="P85" s="194"/>
      <c r="Q85" s="194"/>
      <c r="R85" s="195"/>
      <c r="S85" s="193"/>
      <c r="T85" s="196"/>
      <c r="U85" s="197"/>
      <c r="V85" s="194"/>
      <c r="W85" s="422"/>
      <c r="X85" s="542"/>
      <c r="Y85" s="542"/>
      <c r="Z85" s="542"/>
    </row>
    <row r="86" spans="1:26" s="71" customFormat="1" ht="14.25" customHeight="1">
      <c r="A86" s="423" t="s">
        <v>2707</v>
      </c>
      <c r="B86" s="426" t="s">
        <v>306</v>
      </c>
      <c r="C86" s="427" t="s">
        <v>954</v>
      </c>
      <c r="D86" s="421" t="s">
        <v>1654</v>
      </c>
      <c r="E86" s="71">
        <v>196767</v>
      </c>
      <c r="J86" s="71" t="s">
        <v>798</v>
      </c>
      <c r="K86" s="71" t="s">
        <v>798</v>
      </c>
      <c r="L86" s="71" t="s">
        <v>798</v>
      </c>
      <c r="M86" s="71" t="s">
        <v>298</v>
      </c>
      <c r="N86" s="71">
        <v>21.006929400000001</v>
      </c>
      <c r="O86" s="71">
        <v>92.981040949999993</v>
      </c>
      <c r="P86" s="71" t="s">
        <v>799</v>
      </c>
      <c r="R86" s="430"/>
      <c r="S86" s="100"/>
      <c r="T86" s="105"/>
      <c r="U86" s="101"/>
      <c r="V86" s="71" t="s">
        <v>954</v>
      </c>
      <c r="W86" s="419"/>
      <c r="X86" s="542"/>
      <c r="Y86" s="542"/>
      <c r="Z86" s="542"/>
    </row>
    <row r="87" spans="1:26" s="71" customFormat="1" ht="14.25" customHeight="1">
      <c r="A87" s="423" t="s">
        <v>2707</v>
      </c>
      <c r="B87" s="420" t="s">
        <v>306</v>
      </c>
      <c r="C87" s="420" t="s">
        <v>696</v>
      </c>
      <c r="D87" s="472" t="s">
        <v>1654</v>
      </c>
      <c r="E87" s="71">
        <v>196886</v>
      </c>
      <c r="J87" s="71" t="s">
        <v>804</v>
      </c>
      <c r="K87" s="71" t="s">
        <v>798</v>
      </c>
      <c r="L87" s="71" t="s">
        <v>804</v>
      </c>
      <c r="M87" s="71" t="s">
        <v>298</v>
      </c>
      <c r="N87" s="71">
        <v>20.803710939999998</v>
      </c>
      <c r="O87" s="71">
        <v>92.946136469999999</v>
      </c>
      <c r="P87" s="71" t="s">
        <v>923</v>
      </c>
      <c r="Q87" s="71" t="s">
        <v>780</v>
      </c>
      <c r="R87" s="99"/>
      <c r="S87" s="423"/>
      <c r="T87" s="105"/>
      <c r="U87" s="101"/>
      <c r="W87" s="419"/>
      <c r="X87" s="542"/>
      <c r="Y87" s="542"/>
      <c r="Z87" s="542"/>
    </row>
    <row r="88" spans="1:26" s="71" customFormat="1" ht="14.25" customHeight="1">
      <c r="A88" s="423" t="s">
        <v>2707</v>
      </c>
      <c r="B88" s="426" t="s">
        <v>306</v>
      </c>
      <c r="C88" s="427" t="s">
        <v>939</v>
      </c>
      <c r="D88" s="421" t="s">
        <v>1654</v>
      </c>
      <c r="E88" s="71">
        <v>196885</v>
      </c>
      <c r="J88" s="71" t="s">
        <v>804</v>
      </c>
      <c r="K88" s="71" t="s">
        <v>798</v>
      </c>
      <c r="L88" s="71" t="s">
        <v>804</v>
      </c>
      <c r="N88" s="71">
        <v>20.80635071</v>
      </c>
      <c r="O88" s="71">
        <v>92.948310849999999</v>
      </c>
      <c r="P88" s="71" t="s">
        <v>923</v>
      </c>
      <c r="Q88" s="71" t="s">
        <v>926</v>
      </c>
      <c r="R88" s="430"/>
      <c r="S88" s="423"/>
      <c r="T88" s="105">
        <v>43011</v>
      </c>
      <c r="U88" s="101" t="s">
        <v>927</v>
      </c>
      <c r="W88" s="419"/>
      <c r="X88" s="542"/>
      <c r="Y88" s="542"/>
      <c r="Z88" s="542"/>
    </row>
    <row r="89" spans="1:26" s="71" customFormat="1" ht="14.25" customHeight="1">
      <c r="A89" s="423" t="s">
        <v>2707</v>
      </c>
      <c r="B89" s="426" t="s">
        <v>306</v>
      </c>
      <c r="C89" s="427" t="s">
        <v>2305</v>
      </c>
      <c r="D89" s="421"/>
      <c r="E89" s="71">
        <v>196932</v>
      </c>
      <c r="F89" s="71" t="s">
        <v>871</v>
      </c>
      <c r="J89" s="71" t="s">
        <v>798</v>
      </c>
      <c r="K89" s="71" t="s">
        <v>798</v>
      </c>
      <c r="L89" s="71" t="s">
        <v>798</v>
      </c>
      <c r="N89" s="71">
        <v>20.655569</v>
      </c>
      <c r="O89" s="71">
        <v>92.959709000000004</v>
      </c>
      <c r="P89" s="71" t="s">
        <v>799</v>
      </c>
      <c r="Q89" s="71" t="s">
        <v>2261</v>
      </c>
      <c r="R89" s="430"/>
      <c r="S89" s="100"/>
      <c r="T89" s="105">
        <v>43465</v>
      </c>
      <c r="U89" s="101" t="s">
        <v>2304</v>
      </c>
      <c r="V89" s="71" t="s">
        <v>2299</v>
      </c>
      <c r="W89" s="419"/>
      <c r="X89" s="542"/>
      <c r="Y89" s="542"/>
      <c r="Z89" s="542"/>
    </row>
    <row r="90" spans="1:26" s="71" customFormat="1" ht="14.25" customHeight="1">
      <c r="A90" s="423" t="s">
        <v>2707</v>
      </c>
      <c r="B90" s="420" t="s">
        <v>306</v>
      </c>
      <c r="C90" s="420" t="s">
        <v>2251</v>
      </c>
      <c r="D90" s="472"/>
      <c r="E90" s="71">
        <v>196893</v>
      </c>
      <c r="J90" s="71" t="s">
        <v>798</v>
      </c>
      <c r="K90" s="71" t="s">
        <v>798</v>
      </c>
      <c r="L90" s="71" t="s">
        <v>798</v>
      </c>
      <c r="N90" s="71">
        <v>20.760820389999999</v>
      </c>
      <c r="O90" s="71">
        <v>92.960083010000005</v>
      </c>
      <c r="P90" s="71" t="s">
        <v>799</v>
      </c>
      <c r="R90" s="422"/>
      <c r="S90" s="100"/>
      <c r="T90" s="105"/>
      <c r="U90" s="424"/>
      <c r="V90" s="71" t="s">
        <v>2244</v>
      </c>
      <c r="W90" s="419"/>
      <c r="X90" s="542"/>
      <c r="Y90" s="542"/>
      <c r="Z90" s="542"/>
    </row>
    <row r="91" spans="1:26" s="71" customFormat="1" ht="14.25" customHeight="1">
      <c r="A91" s="423" t="s">
        <v>2707</v>
      </c>
      <c r="B91" s="420" t="s">
        <v>306</v>
      </c>
      <c r="C91" s="420" t="s">
        <v>353</v>
      </c>
      <c r="D91" s="472" t="s">
        <v>1654</v>
      </c>
      <c r="J91" s="71" t="s">
        <v>804</v>
      </c>
      <c r="K91" s="71" t="s">
        <v>798</v>
      </c>
      <c r="L91" s="71" t="s">
        <v>804</v>
      </c>
      <c r="M91" s="71" t="s">
        <v>298</v>
      </c>
      <c r="N91" s="419"/>
      <c r="O91" s="419"/>
      <c r="P91" s="71" t="s">
        <v>923</v>
      </c>
      <c r="Q91" s="71" t="s">
        <v>926</v>
      </c>
      <c r="R91" s="99"/>
      <c r="S91" s="100"/>
      <c r="T91" s="105">
        <v>43011</v>
      </c>
      <c r="U91" s="101" t="s">
        <v>927</v>
      </c>
      <c r="X91" s="542"/>
      <c r="Y91" s="542"/>
      <c r="Z91" s="542"/>
    </row>
    <row r="92" spans="1:26" s="71" customFormat="1" ht="14.25" customHeight="1">
      <c r="A92" s="423" t="s">
        <v>2707</v>
      </c>
      <c r="B92" s="420" t="s">
        <v>306</v>
      </c>
      <c r="C92" s="420" t="s">
        <v>932</v>
      </c>
      <c r="D92" s="472" t="s">
        <v>1654</v>
      </c>
      <c r="E92" s="71">
        <v>196950</v>
      </c>
      <c r="J92" s="71" t="s">
        <v>798</v>
      </c>
      <c r="K92" s="71" t="s">
        <v>798</v>
      </c>
      <c r="L92" s="71" t="s">
        <v>798</v>
      </c>
      <c r="M92" s="71" t="s">
        <v>2010</v>
      </c>
      <c r="N92" s="71">
        <v>20.720500950000002</v>
      </c>
      <c r="O92" s="71">
        <v>92.937339780000002</v>
      </c>
      <c r="P92" s="71" t="s">
        <v>799</v>
      </c>
      <c r="R92" s="99"/>
      <c r="S92" s="100"/>
      <c r="T92" s="105"/>
      <c r="U92" s="101"/>
      <c r="V92" s="71" t="s">
        <v>932</v>
      </c>
      <c r="X92" s="542"/>
      <c r="Y92" s="542"/>
      <c r="Z92" s="542"/>
    </row>
    <row r="93" spans="1:26" s="71" customFormat="1" ht="14.25" customHeight="1">
      <c r="A93" s="423" t="s">
        <v>2707</v>
      </c>
      <c r="B93" s="420" t="s">
        <v>306</v>
      </c>
      <c r="C93" s="420" t="s">
        <v>2861</v>
      </c>
      <c r="D93" s="472"/>
      <c r="E93" s="71">
        <v>196923</v>
      </c>
      <c r="J93" s="71" t="s">
        <v>2715</v>
      </c>
      <c r="K93" s="71" t="s">
        <v>2677</v>
      </c>
      <c r="L93" s="71" t="s">
        <v>2677</v>
      </c>
      <c r="N93" s="71">
        <v>20.675489425659201</v>
      </c>
      <c r="O93" s="71">
        <v>92.916961669921903</v>
      </c>
      <c r="R93" s="99"/>
      <c r="S93" s="100"/>
      <c r="T93" s="105"/>
      <c r="U93" s="424"/>
      <c r="X93" s="542"/>
      <c r="Y93" s="542"/>
      <c r="Z93" s="542"/>
    </row>
    <row r="94" spans="1:26" s="71" customFormat="1" ht="14.25" customHeight="1">
      <c r="A94" s="423" t="s">
        <v>2707</v>
      </c>
      <c r="B94" s="420" t="s">
        <v>306</v>
      </c>
      <c r="C94" s="420" t="s">
        <v>2028</v>
      </c>
      <c r="D94" s="472"/>
      <c r="E94" s="419">
        <v>196828</v>
      </c>
      <c r="F94" s="419" t="s">
        <v>1752</v>
      </c>
      <c r="G94" s="419"/>
      <c r="H94" s="419"/>
      <c r="I94" s="419"/>
      <c r="J94" s="419" t="s">
        <v>798</v>
      </c>
      <c r="K94" s="419" t="s">
        <v>798</v>
      </c>
      <c r="L94" s="419" t="s">
        <v>798</v>
      </c>
      <c r="M94" s="419"/>
      <c r="N94" s="419">
        <v>20.860509870000001</v>
      </c>
      <c r="O94" s="419">
        <v>92.966751099999996</v>
      </c>
      <c r="P94" s="419" t="s">
        <v>799</v>
      </c>
      <c r="Q94" s="419"/>
      <c r="R94" s="422"/>
      <c r="S94" s="423"/>
      <c r="T94" s="442">
        <v>43297</v>
      </c>
      <c r="U94" s="424"/>
      <c r="V94" s="419"/>
      <c r="W94" s="419"/>
      <c r="X94" s="542"/>
      <c r="Y94" s="542"/>
      <c r="Z94" s="542"/>
    </row>
    <row r="95" spans="1:26" s="71" customFormat="1" ht="14.25" customHeight="1">
      <c r="A95" s="423" t="s">
        <v>2707</v>
      </c>
      <c r="B95" s="426" t="s">
        <v>306</v>
      </c>
      <c r="C95" s="427" t="s">
        <v>577</v>
      </c>
      <c r="D95" s="472" t="s">
        <v>2787</v>
      </c>
      <c r="E95" s="71" t="s">
        <v>1390</v>
      </c>
      <c r="F95" s="71" t="s">
        <v>570</v>
      </c>
      <c r="G95" s="71" t="s">
        <v>577</v>
      </c>
      <c r="J95" s="71" t="s">
        <v>798</v>
      </c>
      <c r="K95" s="71" t="s">
        <v>798</v>
      </c>
      <c r="L95" s="71" t="s">
        <v>883</v>
      </c>
      <c r="M95" s="71" t="s">
        <v>795</v>
      </c>
      <c r="N95" s="71">
        <v>20.727589999999999</v>
      </c>
      <c r="O95" s="71">
        <v>92.969350000000006</v>
      </c>
      <c r="P95" s="419" t="s">
        <v>799</v>
      </c>
      <c r="Q95" s="71" t="s">
        <v>780</v>
      </c>
      <c r="R95" s="99">
        <v>112</v>
      </c>
      <c r="S95" s="423">
        <v>738</v>
      </c>
      <c r="T95" s="105"/>
      <c r="U95" s="101"/>
      <c r="V95" s="71" t="s">
        <v>577</v>
      </c>
      <c r="W95" s="419"/>
      <c r="X95" s="542"/>
      <c r="Y95" s="542"/>
      <c r="Z95" s="542"/>
    </row>
    <row r="96" spans="1:26" s="71" customFormat="1" ht="14.25" customHeight="1">
      <c r="A96" s="423" t="s">
        <v>2707</v>
      </c>
      <c r="B96" s="426" t="s">
        <v>306</v>
      </c>
      <c r="C96" s="427" t="s">
        <v>573</v>
      </c>
      <c r="D96" s="421" t="s">
        <v>1654</v>
      </c>
      <c r="E96" s="71">
        <v>196951</v>
      </c>
      <c r="J96" s="71" t="s">
        <v>798</v>
      </c>
      <c r="K96" s="71" t="s">
        <v>798</v>
      </c>
      <c r="L96" s="71" t="s">
        <v>798</v>
      </c>
      <c r="M96" s="71" t="s">
        <v>298</v>
      </c>
      <c r="N96" s="71">
        <v>20.723630910000001</v>
      </c>
      <c r="O96" s="71">
        <v>92.974327090000003</v>
      </c>
      <c r="P96" s="71" t="s">
        <v>799</v>
      </c>
      <c r="Q96" s="71" t="s">
        <v>780</v>
      </c>
      <c r="R96" s="430"/>
      <c r="S96" s="423"/>
      <c r="T96" s="105"/>
      <c r="U96" s="101"/>
      <c r="V96" s="71" t="s">
        <v>573</v>
      </c>
      <c r="X96" s="542"/>
      <c r="Y96" s="542"/>
      <c r="Z96" s="542"/>
    </row>
    <row r="97" spans="1:26" s="71" customFormat="1" ht="14.25" customHeight="1">
      <c r="A97" s="426" t="s">
        <v>2707</v>
      </c>
      <c r="B97" s="426" t="s">
        <v>306</v>
      </c>
      <c r="C97" s="427" t="s">
        <v>2839</v>
      </c>
      <c r="D97" s="421"/>
      <c r="E97" s="71">
        <v>196981</v>
      </c>
      <c r="J97" s="71" t="s">
        <v>2715</v>
      </c>
      <c r="K97" s="419" t="s">
        <v>2677</v>
      </c>
      <c r="L97" s="419" t="s">
        <v>2677</v>
      </c>
      <c r="N97" s="71">
        <v>20.656810760498001</v>
      </c>
      <c r="O97" s="71">
        <v>93.029953002929702</v>
      </c>
      <c r="R97" s="430"/>
      <c r="S97" s="100"/>
      <c r="T97" s="105">
        <v>43591</v>
      </c>
      <c r="U97" s="430"/>
      <c r="W97" s="422"/>
      <c r="X97" s="542"/>
      <c r="Y97" s="542"/>
      <c r="Z97" s="542"/>
    </row>
    <row r="98" spans="1:26" s="71" customFormat="1" ht="14.25" customHeight="1">
      <c r="A98" s="423" t="s">
        <v>2707</v>
      </c>
      <c r="B98" s="419" t="s">
        <v>316</v>
      </c>
      <c r="C98" s="419" t="s">
        <v>876</v>
      </c>
      <c r="D98" s="472" t="s">
        <v>1654</v>
      </c>
      <c r="E98" s="71">
        <v>197171</v>
      </c>
      <c r="F98" s="445" t="s">
        <v>520</v>
      </c>
      <c r="J98" s="71" t="s">
        <v>798</v>
      </c>
      <c r="K98" s="71" t="s">
        <v>798</v>
      </c>
      <c r="L98" s="419" t="s">
        <v>798</v>
      </c>
      <c r="N98" s="71">
        <v>20.225250240000001</v>
      </c>
      <c r="O98" s="71">
        <v>93.418876650000001</v>
      </c>
      <c r="P98" s="419" t="s">
        <v>799</v>
      </c>
      <c r="R98" s="99"/>
      <c r="S98" s="423"/>
      <c r="T98" s="105"/>
      <c r="U98" s="101"/>
      <c r="V98" s="71" t="s">
        <v>877</v>
      </c>
      <c r="W98" s="419"/>
      <c r="X98" s="542"/>
      <c r="Y98" s="542"/>
      <c r="Z98" s="542"/>
    </row>
    <row r="99" spans="1:26" s="71" customFormat="1" ht="14.25" customHeight="1">
      <c r="A99" s="423" t="s">
        <v>2707</v>
      </c>
      <c r="B99" s="419" t="s">
        <v>316</v>
      </c>
      <c r="C99" s="419" t="s">
        <v>2653</v>
      </c>
      <c r="D99" s="472"/>
      <c r="E99" s="71">
        <v>197034</v>
      </c>
      <c r="J99" s="71" t="s">
        <v>798</v>
      </c>
      <c r="K99" s="71" t="s">
        <v>798</v>
      </c>
      <c r="L99" s="71" t="s">
        <v>798</v>
      </c>
      <c r="R99" s="422"/>
      <c r="S99" s="100"/>
      <c r="T99" s="105"/>
      <c r="U99" s="101"/>
      <c r="W99" s="419"/>
      <c r="X99" s="542"/>
      <c r="Y99" s="542"/>
      <c r="Z99" s="542"/>
    </row>
    <row r="100" spans="1:26" s="71" customFormat="1" ht="14.25" customHeight="1">
      <c r="A100" s="423" t="s">
        <v>2707</v>
      </c>
      <c r="B100" s="419" t="s">
        <v>316</v>
      </c>
      <c r="C100" s="419" t="s">
        <v>2650</v>
      </c>
      <c r="D100" s="472"/>
      <c r="E100" s="71">
        <v>197020</v>
      </c>
      <c r="J100" s="71" t="s">
        <v>798</v>
      </c>
      <c r="K100" s="71" t="s">
        <v>798</v>
      </c>
      <c r="L100" s="71" t="s">
        <v>798</v>
      </c>
      <c r="R100" s="422"/>
      <c r="S100" s="423"/>
      <c r="T100" s="105"/>
      <c r="U100" s="101"/>
      <c r="X100" s="542"/>
      <c r="Y100" s="542"/>
      <c r="Z100" s="542"/>
    </row>
    <row r="101" spans="1:26" s="71" customFormat="1" ht="14.25" customHeight="1">
      <c r="A101" s="423" t="s">
        <v>2707</v>
      </c>
      <c r="B101" s="419" t="s">
        <v>316</v>
      </c>
      <c r="C101" s="71" t="s">
        <v>2668</v>
      </c>
      <c r="D101" s="472"/>
      <c r="E101" s="419">
        <v>220651</v>
      </c>
      <c r="J101" s="71" t="s">
        <v>798</v>
      </c>
      <c r="K101" s="71" t="s">
        <v>798</v>
      </c>
      <c r="L101" s="71" t="s">
        <v>798</v>
      </c>
      <c r="N101" s="419"/>
      <c r="O101" s="419"/>
      <c r="R101" s="99"/>
      <c r="S101" s="423"/>
      <c r="T101" s="105"/>
      <c r="U101" s="101"/>
      <c r="X101" s="542"/>
      <c r="Y101" s="542"/>
      <c r="Z101" s="542"/>
    </row>
    <row r="102" spans="1:26" s="71" customFormat="1" ht="14.25" customHeight="1">
      <c r="A102" s="423" t="s">
        <v>2707</v>
      </c>
      <c r="B102" s="419" t="s">
        <v>316</v>
      </c>
      <c r="C102" s="71" t="s">
        <v>899</v>
      </c>
      <c r="D102" s="472" t="s">
        <v>2787</v>
      </c>
      <c r="E102" s="71" t="s">
        <v>1378</v>
      </c>
      <c r="F102" s="71" t="s">
        <v>880</v>
      </c>
      <c r="G102" s="71" t="s">
        <v>899</v>
      </c>
      <c r="J102" s="71" t="s">
        <v>798</v>
      </c>
      <c r="K102" s="71" t="s">
        <v>798</v>
      </c>
      <c r="L102" s="71" t="s">
        <v>883</v>
      </c>
      <c r="M102" s="71" t="s">
        <v>795</v>
      </c>
      <c r="N102" s="71">
        <v>20.480898</v>
      </c>
      <c r="O102" s="71">
        <v>93.299485000000004</v>
      </c>
      <c r="P102" s="71" t="s">
        <v>799</v>
      </c>
      <c r="R102" s="99">
        <v>87</v>
      </c>
      <c r="S102" s="100">
        <v>444</v>
      </c>
      <c r="T102" s="105"/>
      <c r="U102" s="101" t="s">
        <v>860</v>
      </c>
      <c r="V102" s="71" t="s">
        <v>899</v>
      </c>
      <c r="W102" s="419"/>
      <c r="X102" s="542"/>
      <c r="Y102" s="542"/>
      <c r="Z102" s="542"/>
    </row>
    <row r="103" spans="1:26" s="71" customFormat="1" ht="14.25" customHeight="1">
      <c r="A103" s="423" t="s">
        <v>2707</v>
      </c>
      <c r="B103" s="419" t="s">
        <v>316</v>
      </c>
      <c r="C103" s="419" t="s">
        <v>2662</v>
      </c>
      <c r="D103" s="472"/>
      <c r="E103" s="71">
        <v>197090</v>
      </c>
      <c r="J103" s="71" t="s">
        <v>798</v>
      </c>
      <c r="K103" s="71" t="s">
        <v>798</v>
      </c>
      <c r="L103" s="419" t="s">
        <v>798</v>
      </c>
      <c r="P103" s="419"/>
      <c r="R103" s="99"/>
      <c r="S103" s="423"/>
      <c r="T103" s="105"/>
      <c r="U103" s="424"/>
      <c r="W103" s="419"/>
      <c r="X103" s="542"/>
      <c r="Y103" s="542"/>
      <c r="Z103" s="542"/>
    </row>
    <row r="104" spans="1:26" s="71" customFormat="1" ht="14.25" customHeight="1">
      <c r="A104" s="100" t="s">
        <v>2707</v>
      </c>
      <c r="B104" s="419" t="s">
        <v>316</v>
      </c>
      <c r="C104" s="419" t="s">
        <v>466</v>
      </c>
      <c r="D104" s="472" t="s">
        <v>1654</v>
      </c>
      <c r="E104" s="419">
        <v>196994</v>
      </c>
      <c r="J104" s="71" t="s">
        <v>798</v>
      </c>
      <c r="K104" s="71" t="s">
        <v>798</v>
      </c>
      <c r="L104" s="71" t="s">
        <v>798</v>
      </c>
      <c r="M104" s="71" t="s">
        <v>889</v>
      </c>
      <c r="N104" s="419">
        <v>20.394809720000001</v>
      </c>
      <c r="O104" s="419">
        <v>93.251609799999997</v>
      </c>
      <c r="P104" s="419" t="s">
        <v>799</v>
      </c>
      <c r="Q104" s="71" t="s">
        <v>780</v>
      </c>
      <c r="R104" s="422"/>
      <c r="S104" s="423"/>
      <c r="T104" s="105"/>
      <c r="U104" s="101"/>
      <c r="V104" s="71" t="s">
        <v>890</v>
      </c>
      <c r="W104" s="419"/>
      <c r="X104" s="542"/>
      <c r="Y104" s="542"/>
      <c r="Z104" s="542"/>
    </row>
    <row r="105" spans="1:26" s="71" customFormat="1" ht="14.25" customHeight="1">
      <c r="A105" s="423" t="s">
        <v>2707</v>
      </c>
      <c r="B105" s="419" t="s">
        <v>316</v>
      </c>
      <c r="C105" s="419" t="s">
        <v>317</v>
      </c>
      <c r="D105" s="472" t="s">
        <v>1654</v>
      </c>
      <c r="E105" s="71">
        <v>197174</v>
      </c>
      <c r="F105" s="419"/>
      <c r="J105" s="71" t="s">
        <v>798</v>
      </c>
      <c r="K105" s="419" t="s">
        <v>798</v>
      </c>
      <c r="L105" s="419" t="s">
        <v>798</v>
      </c>
      <c r="M105" s="71" t="s">
        <v>298</v>
      </c>
      <c r="P105" s="71" t="s">
        <v>799</v>
      </c>
      <c r="Q105" s="71" t="s">
        <v>780</v>
      </c>
      <c r="R105" s="422"/>
      <c r="S105" s="423"/>
      <c r="T105" s="105" t="s">
        <v>805</v>
      </c>
      <c r="U105" s="101"/>
      <c r="W105" s="419"/>
      <c r="X105" s="542"/>
      <c r="Y105" s="542"/>
      <c r="Z105" s="542"/>
    </row>
    <row r="106" spans="1:26" s="71" customFormat="1" ht="14.25" customHeight="1">
      <c r="A106" s="423" t="s">
        <v>2707</v>
      </c>
      <c r="B106" s="419" t="s">
        <v>316</v>
      </c>
      <c r="C106" s="419" t="s">
        <v>2666</v>
      </c>
      <c r="D106" s="472"/>
      <c r="E106" s="71">
        <v>197099</v>
      </c>
      <c r="J106" s="71" t="s">
        <v>798</v>
      </c>
      <c r="K106" s="71" t="s">
        <v>798</v>
      </c>
      <c r="L106" s="71" t="s">
        <v>798</v>
      </c>
      <c r="P106" s="419"/>
      <c r="R106" s="99"/>
      <c r="S106" s="423"/>
      <c r="T106" s="105"/>
      <c r="U106" s="424"/>
      <c r="W106" s="419"/>
      <c r="X106" s="542"/>
      <c r="Y106" s="542"/>
      <c r="Z106" s="542"/>
    </row>
    <row r="107" spans="1:26" s="71" customFormat="1" ht="14.25" customHeight="1">
      <c r="A107" s="423" t="s">
        <v>2707</v>
      </c>
      <c r="B107" s="419" t="s">
        <v>316</v>
      </c>
      <c r="C107" s="419" t="s">
        <v>871</v>
      </c>
      <c r="D107" s="472" t="s">
        <v>1654</v>
      </c>
      <c r="E107" s="71">
        <v>197176</v>
      </c>
      <c r="F107" s="71" t="s">
        <v>520</v>
      </c>
      <c r="J107" s="71" t="s">
        <v>798</v>
      </c>
      <c r="K107" s="71" t="s">
        <v>798</v>
      </c>
      <c r="L107" s="71" t="s">
        <v>798</v>
      </c>
      <c r="M107" s="71" t="s">
        <v>795</v>
      </c>
      <c r="N107" s="71">
        <v>20.203340529999998</v>
      </c>
      <c r="O107" s="71">
        <v>93.426139829999997</v>
      </c>
      <c r="P107" s="71" t="s">
        <v>799</v>
      </c>
      <c r="R107" s="422"/>
      <c r="S107" s="423"/>
      <c r="T107" s="105"/>
      <c r="U107" s="419"/>
      <c r="V107" s="71" t="s">
        <v>872</v>
      </c>
      <c r="X107" s="542"/>
      <c r="Y107" s="542"/>
      <c r="Z107" s="542"/>
    </row>
    <row r="108" spans="1:26" s="71" customFormat="1" ht="14.25" customHeight="1">
      <c r="A108" s="423" t="s">
        <v>2707</v>
      </c>
      <c r="B108" s="419" t="s">
        <v>316</v>
      </c>
      <c r="C108" s="419" t="s">
        <v>2671</v>
      </c>
      <c r="D108" s="472"/>
      <c r="E108" s="419">
        <v>197111</v>
      </c>
      <c r="F108" s="419"/>
      <c r="G108" s="419"/>
      <c r="H108" s="419"/>
      <c r="I108" s="419"/>
      <c r="J108" s="71" t="s">
        <v>798</v>
      </c>
      <c r="K108" s="419" t="s">
        <v>798</v>
      </c>
      <c r="L108" s="419" t="s">
        <v>798</v>
      </c>
      <c r="R108" s="422"/>
      <c r="S108" s="423"/>
      <c r="T108" s="105"/>
      <c r="U108" s="101"/>
      <c r="X108" s="542"/>
      <c r="Y108" s="542"/>
      <c r="Z108" s="542"/>
    </row>
    <row r="109" spans="1:26" s="71" customFormat="1" ht="14.25" customHeight="1">
      <c r="A109" s="426" t="s">
        <v>2707</v>
      </c>
      <c r="B109" s="426" t="s">
        <v>316</v>
      </c>
      <c r="C109" s="427" t="s">
        <v>2801</v>
      </c>
      <c r="D109" s="421"/>
      <c r="J109" s="71" t="s">
        <v>2715</v>
      </c>
      <c r="K109" s="71" t="s">
        <v>2677</v>
      </c>
      <c r="L109" s="71" t="s">
        <v>2677</v>
      </c>
      <c r="R109" s="430"/>
      <c r="S109" s="423"/>
      <c r="T109" s="105">
        <v>43591</v>
      </c>
      <c r="U109" s="430"/>
      <c r="W109" s="422"/>
      <c r="X109" s="542"/>
      <c r="Y109" s="542"/>
      <c r="Z109" s="542"/>
    </row>
    <row r="110" spans="1:26" s="71" customFormat="1" ht="14.25" customHeight="1">
      <c r="A110" s="423" t="s">
        <v>2707</v>
      </c>
      <c r="B110" s="419" t="s">
        <v>316</v>
      </c>
      <c r="C110" s="419" t="s">
        <v>2659</v>
      </c>
      <c r="D110" s="472"/>
      <c r="E110" s="71">
        <v>197042</v>
      </c>
      <c r="J110" s="71" t="s">
        <v>798</v>
      </c>
      <c r="K110" s="71" t="s">
        <v>798</v>
      </c>
      <c r="L110" s="71" t="s">
        <v>798</v>
      </c>
      <c r="R110" s="99"/>
      <c r="S110" s="423"/>
      <c r="T110" s="105"/>
      <c r="U110" s="101"/>
      <c r="X110" s="542"/>
      <c r="Y110" s="542"/>
      <c r="Z110" s="542"/>
    </row>
    <row r="111" spans="1:26" s="71" customFormat="1" ht="14.25" customHeight="1">
      <c r="A111" s="423" t="s">
        <v>2707</v>
      </c>
      <c r="B111" s="419" t="s">
        <v>316</v>
      </c>
      <c r="C111" s="419" t="s">
        <v>468</v>
      </c>
      <c r="D111" s="472" t="s">
        <v>1654</v>
      </c>
      <c r="E111" s="71">
        <v>196996</v>
      </c>
      <c r="J111" s="71" t="s">
        <v>798</v>
      </c>
      <c r="K111" s="71" t="s">
        <v>798</v>
      </c>
      <c r="L111" s="71" t="s">
        <v>798</v>
      </c>
      <c r="M111" s="71" t="s">
        <v>298</v>
      </c>
      <c r="N111" s="71">
        <v>20.398889539999999</v>
      </c>
      <c r="O111" s="71">
        <v>93.25405121</v>
      </c>
      <c r="P111" s="71" t="s">
        <v>799</v>
      </c>
      <c r="Q111" s="71" t="s">
        <v>780</v>
      </c>
      <c r="R111" s="422"/>
      <c r="S111" s="423"/>
      <c r="T111" s="105"/>
      <c r="U111" s="101"/>
      <c r="V111" s="71" t="s">
        <v>468</v>
      </c>
      <c r="X111" s="542"/>
      <c r="Y111" s="542"/>
      <c r="Z111" s="542"/>
    </row>
    <row r="112" spans="1:26" s="71" customFormat="1" ht="14.25" customHeight="1">
      <c r="A112" s="423" t="s">
        <v>2707</v>
      </c>
      <c r="B112" s="419" t="s">
        <v>316</v>
      </c>
      <c r="C112" s="419" t="s">
        <v>2660</v>
      </c>
      <c r="D112" s="472"/>
      <c r="E112" s="71">
        <v>197043</v>
      </c>
      <c r="J112" s="71" t="s">
        <v>798</v>
      </c>
      <c r="K112" s="71" t="s">
        <v>798</v>
      </c>
      <c r="L112" s="71" t="s">
        <v>798</v>
      </c>
      <c r="R112" s="422"/>
      <c r="S112" s="100"/>
      <c r="T112" s="105"/>
      <c r="U112" s="101"/>
      <c r="W112" s="419"/>
      <c r="X112" s="542"/>
      <c r="Y112" s="542"/>
      <c r="Z112" s="542"/>
    </row>
    <row r="113" spans="1:26" s="71" customFormat="1" ht="14.25" customHeight="1">
      <c r="A113" s="423" t="s">
        <v>2707</v>
      </c>
      <c r="B113" s="419" t="s">
        <v>316</v>
      </c>
      <c r="C113" s="419" t="s">
        <v>448</v>
      </c>
      <c r="D113" s="472" t="s">
        <v>1654</v>
      </c>
      <c r="E113" s="71">
        <v>220671</v>
      </c>
      <c r="J113" s="71" t="s">
        <v>798</v>
      </c>
      <c r="K113" s="71" t="s">
        <v>798</v>
      </c>
      <c r="L113" s="71" t="s">
        <v>798</v>
      </c>
      <c r="M113" s="71" t="s">
        <v>298</v>
      </c>
      <c r="N113" s="71">
        <v>20.218471529999999</v>
      </c>
      <c r="O113" s="71">
        <v>93.424331670000001</v>
      </c>
      <c r="P113" s="71" t="s">
        <v>799</v>
      </c>
      <c r="Q113" s="71" t="s">
        <v>780</v>
      </c>
      <c r="R113" s="422"/>
      <c r="S113" s="423"/>
      <c r="T113" s="105"/>
      <c r="U113" s="101"/>
      <c r="V113" s="71" t="s">
        <v>874</v>
      </c>
      <c r="W113" s="419"/>
      <c r="X113" s="542"/>
      <c r="Y113" s="542"/>
      <c r="Z113" s="542"/>
    </row>
    <row r="114" spans="1:26" s="71" customFormat="1" ht="14.25" customHeight="1">
      <c r="A114" s="423" t="s">
        <v>2707</v>
      </c>
      <c r="B114" s="419" t="s">
        <v>316</v>
      </c>
      <c r="C114" s="419" t="s">
        <v>2648</v>
      </c>
      <c r="D114" s="472"/>
      <c r="E114" s="71">
        <v>197017</v>
      </c>
      <c r="J114" s="71" t="s">
        <v>798</v>
      </c>
      <c r="K114" s="71" t="s">
        <v>798</v>
      </c>
      <c r="L114" s="71" t="s">
        <v>798</v>
      </c>
      <c r="R114" s="99"/>
      <c r="S114" s="423"/>
      <c r="T114" s="105"/>
      <c r="U114" s="101"/>
      <c r="X114" s="542"/>
      <c r="Y114" s="542"/>
      <c r="Z114" s="542"/>
    </row>
    <row r="115" spans="1:26" s="71" customFormat="1" ht="14.25" customHeight="1">
      <c r="A115" s="100" t="s">
        <v>2707</v>
      </c>
      <c r="B115" s="426" t="s">
        <v>316</v>
      </c>
      <c r="C115" s="427" t="s">
        <v>2796</v>
      </c>
      <c r="D115" s="421"/>
      <c r="E115" s="71">
        <v>197065</v>
      </c>
      <c r="J115" s="71" t="s">
        <v>2715</v>
      </c>
      <c r="K115" s="419" t="s">
        <v>2677</v>
      </c>
      <c r="L115" s="419" t="s">
        <v>2677</v>
      </c>
      <c r="N115" s="71">
        <v>20.593980789184599</v>
      </c>
      <c r="O115" s="71">
        <v>93.261528015136705</v>
      </c>
      <c r="R115" s="430"/>
      <c r="S115" s="100"/>
      <c r="T115" s="105">
        <v>43591</v>
      </c>
      <c r="U115" s="430"/>
      <c r="W115" s="422"/>
      <c r="X115" s="542"/>
      <c r="Y115" s="542"/>
      <c r="Z115" s="542"/>
    </row>
    <row r="116" spans="1:26" s="71" customFormat="1" ht="14.25" customHeight="1">
      <c r="A116" s="423" t="s">
        <v>2707</v>
      </c>
      <c r="B116" s="419" t="s">
        <v>316</v>
      </c>
      <c r="C116" s="419" t="s">
        <v>2658</v>
      </c>
      <c r="D116" s="472"/>
      <c r="E116" s="71">
        <v>197041</v>
      </c>
      <c r="J116" s="71" t="s">
        <v>798</v>
      </c>
      <c r="K116" s="71" t="s">
        <v>798</v>
      </c>
      <c r="L116" s="71" t="s">
        <v>798</v>
      </c>
      <c r="R116" s="99"/>
      <c r="S116" s="100"/>
      <c r="T116" s="105"/>
      <c r="U116" s="101"/>
      <c r="W116" s="419"/>
      <c r="X116" s="542"/>
      <c r="Y116" s="542"/>
      <c r="Z116" s="542"/>
    </row>
    <row r="117" spans="1:26" s="71" customFormat="1" ht="14.25" customHeight="1">
      <c r="A117" s="426" t="s">
        <v>2707</v>
      </c>
      <c r="B117" s="426" t="s">
        <v>316</v>
      </c>
      <c r="C117" s="427" t="s">
        <v>2820</v>
      </c>
      <c r="D117" s="421"/>
      <c r="J117" s="71" t="s">
        <v>2715</v>
      </c>
      <c r="K117" s="71" t="s">
        <v>2677</v>
      </c>
      <c r="L117" s="71" t="s">
        <v>2677</v>
      </c>
      <c r="R117" s="430"/>
      <c r="S117" s="423"/>
      <c r="T117" s="105">
        <v>43591</v>
      </c>
      <c r="U117" s="430"/>
      <c r="W117" s="422"/>
      <c r="X117" s="542"/>
      <c r="Y117" s="542"/>
      <c r="Z117" s="542"/>
    </row>
    <row r="118" spans="1:26" s="71" customFormat="1" ht="14.25" customHeight="1">
      <c r="A118" s="423" t="s">
        <v>2707</v>
      </c>
      <c r="B118" s="419" t="s">
        <v>316</v>
      </c>
      <c r="C118" s="419" t="s">
        <v>2669</v>
      </c>
      <c r="D118" s="472"/>
      <c r="E118" s="71">
        <v>197103</v>
      </c>
      <c r="J118" s="71" t="s">
        <v>798</v>
      </c>
      <c r="K118" s="71" t="s">
        <v>798</v>
      </c>
      <c r="L118" s="71" t="s">
        <v>798</v>
      </c>
      <c r="P118" s="419"/>
      <c r="R118" s="422"/>
      <c r="S118" s="423"/>
      <c r="T118" s="105"/>
      <c r="U118" s="101"/>
      <c r="W118" s="419"/>
      <c r="X118" s="542"/>
      <c r="Y118" s="542"/>
      <c r="Z118" s="542"/>
    </row>
    <row r="119" spans="1:26" s="71" customFormat="1" ht="14.25" customHeight="1">
      <c r="A119" s="423" t="s">
        <v>2707</v>
      </c>
      <c r="B119" s="419" t="s">
        <v>316</v>
      </c>
      <c r="C119" s="419" t="s">
        <v>2652</v>
      </c>
      <c r="D119" s="472"/>
      <c r="E119" s="71">
        <v>197028</v>
      </c>
      <c r="J119" s="71" t="s">
        <v>798</v>
      </c>
      <c r="K119" s="419" t="s">
        <v>798</v>
      </c>
      <c r="L119" s="419" t="s">
        <v>798</v>
      </c>
      <c r="P119" s="419"/>
      <c r="R119" s="99"/>
      <c r="S119" s="423"/>
      <c r="T119" s="105"/>
      <c r="U119" s="101"/>
      <c r="X119" s="542"/>
      <c r="Y119" s="542"/>
      <c r="Z119" s="542"/>
    </row>
    <row r="120" spans="1:26" s="71" customFormat="1" ht="14.25" customHeight="1">
      <c r="A120" s="423" t="s">
        <v>2707</v>
      </c>
      <c r="B120" s="419" t="s">
        <v>316</v>
      </c>
      <c r="C120" s="419" t="s">
        <v>2651</v>
      </c>
      <c r="D120" s="472"/>
      <c r="E120" s="71">
        <v>197027</v>
      </c>
      <c r="J120" s="71" t="s">
        <v>798</v>
      </c>
      <c r="K120" s="419" t="s">
        <v>798</v>
      </c>
      <c r="L120" s="419" t="s">
        <v>798</v>
      </c>
      <c r="R120" s="99"/>
      <c r="S120" s="100"/>
      <c r="T120" s="105"/>
      <c r="U120" s="101"/>
      <c r="X120" s="542"/>
      <c r="Y120" s="542"/>
      <c r="Z120" s="542"/>
    </row>
    <row r="121" spans="1:26" s="71" customFormat="1" ht="14.25" customHeight="1">
      <c r="A121" s="423" t="s">
        <v>2707</v>
      </c>
      <c r="B121" s="419" t="s">
        <v>316</v>
      </c>
      <c r="C121" s="419" t="s">
        <v>886</v>
      </c>
      <c r="D121" s="472" t="s">
        <v>2787</v>
      </c>
      <c r="E121" s="417" t="s">
        <v>1370</v>
      </c>
      <c r="F121" s="71" t="s">
        <v>1744</v>
      </c>
      <c r="G121" s="71" t="s">
        <v>1744</v>
      </c>
      <c r="J121" s="71" t="s">
        <v>798</v>
      </c>
      <c r="K121" s="71" t="s">
        <v>798</v>
      </c>
      <c r="L121" s="71" t="s">
        <v>883</v>
      </c>
      <c r="M121" s="71" t="s">
        <v>795</v>
      </c>
      <c r="N121" s="433">
        <v>20.377523</v>
      </c>
      <c r="O121" s="435">
        <v>93.271642</v>
      </c>
      <c r="P121" s="71" t="s">
        <v>799</v>
      </c>
      <c r="R121" s="99">
        <v>19</v>
      </c>
      <c r="S121" s="423">
        <v>142</v>
      </c>
      <c r="T121" s="105"/>
      <c r="U121" s="101" t="s">
        <v>860</v>
      </c>
      <c r="V121" s="71" t="s">
        <v>886</v>
      </c>
      <c r="X121" s="542"/>
      <c r="Y121" s="542"/>
      <c r="Z121" s="542"/>
    </row>
    <row r="122" spans="1:26" s="71" customFormat="1" ht="14.25" customHeight="1">
      <c r="A122" s="423" t="s">
        <v>2707</v>
      </c>
      <c r="B122" s="419" t="s">
        <v>316</v>
      </c>
      <c r="C122" s="419" t="s">
        <v>662</v>
      </c>
      <c r="D122" s="472"/>
      <c r="E122" s="71">
        <v>197110</v>
      </c>
      <c r="F122" s="71" t="s">
        <v>2754</v>
      </c>
      <c r="J122" s="71" t="s">
        <v>798</v>
      </c>
      <c r="K122" s="71" t="s">
        <v>798</v>
      </c>
      <c r="L122" s="71" t="s">
        <v>798</v>
      </c>
      <c r="R122" s="99"/>
      <c r="S122" s="423"/>
      <c r="T122" s="105"/>
      <c r="U122" s="101"/>
      <c r="X122" s="542"/>
      <c r="Y122" s="542"/>
      <c r="Z122" s="542"/>
    </row>
    <row r="123" spans="1:26" s="71" customFormat="1" ht="14.25" customHeight="1">
      <c r="A123" s="426" t="s">
        <v>2707</v>
      </c>
      <c r="B123" s="426" t="s">
        <v>316</v>
      </c>
      <c r="C123" s="427" t="s">
        <v>2800</v>
      </c>
      <c r="D123" s="421"/>
      <c r="E123" s="71">
        <v>197051</v>
      </c>
      <c r="J123" s="71" t="s">
        <v>2715</v>
      </c>
      <c r="K123" s="71" t="s">
        <v>2677</v>
      </c>
      <c r="L123" s="71" t="s">
        <v>2677</v>
      </c>
      <c r="N123" s="419">
        <v>20.599809646606399</v>
      </c>
      <c r="O123" s="419">
        <v>93.265541076660199</v>
      </c>
      <c r="R123" s="430"/>
      <c r="S123" s="423"/>
      <c r="T123" s="105">
        <v>43591</v>
      </c>
      <c r="U123" s="430"/>
      <c r="W123" s="422"/>
      <c r="X123" s="542"/>
      <c r="Y123" s="542"/>
      <c r="Z123" s="542"/>
    </row>
    <row r="124" spans="1:26" s="71" customFormat="1" ht="14.25" customHeight="1">
      <c r="A124" s="423" t="s">
        <v>2707</v>
      </c>
      <c r="B124" s="420" t="s">
        <v>316</v>
      </c>
      <c r="C124" s="420" t="s">
        <v>880</v>
      </c>
      <c r="D124" s="472"/>
      <c r="E124" s="71">
        <v>197149</v>
      </c>
      <c r="F124" s="71" t="s">
        <v>880</v>
      </c>
      <c r="J124" s="71" t="s">
        <v>798</v>
      </c>
      <c r="K124" s="71" t="s">
        <v>798</v>
      </c>
      <c r="L124" s="71" t="s">
        <v>798</v>
      </c>
      <c r="R124" s="422"/>
      <c r="S124" s="423"/>
      <c r="T124" s="105"/>
      <c r="U124" s="101"/>
      <c r="W124" s="419"/>
      <c r="X124" s="542"/>
      <c r="Y124" s="542"/>
      <c r="Z124" s="542"/>
    </row>
    <row r="125" spans="1:26" s="71" customFormat="1" ht="14.25" customHeight="1">
      <c r="A125" s="423" t="s">
        <v>2707</v>
      </c>
      <c r="B125" s="420" t="s">
        <v>316</v>
      </c>
      <c r="C125" s="420" t="s">
        <v>895</v>
      </c>
      <c r="D125" s="472" t="s">
        <v>2787</v>
      </c>
      <c r="E125" s="419" t="s">
        <v>1374</v>
      </c>
      <c r="F125" s="419" t="s">
        <v>1850</v>
      </c>
      <c r="G125" s="419" t="s">
        <v>1851</v>
      </c>
      <c r="H125" s="419"/>
      <c r="I125" s="419"/>
      <c r="J125" s="71" t="s">
        <v>798</v>
      </c>
      <c r="K125" s="71" t="s">
        <v>798</v>
      </c>
      <c r="L125" s="71" t="s">
        <v>883</v>
      </c>
      <c r="M125" s="419" t="s">
        <v>795</v>
      </c>
      <c r="N125" s="419">
        <v>20.407971</v>
      </c>
      <c r="O125" s="419">
        <v>93.313627999999994</v>
      </c>
      <c r="P125" s="71" t="s">
        <v>799</v>
      </c>
      <c r="Q125" s="419"/>
      <c r="R125" s="422">
        <v>228</v>
      </c>
      <c r="S125" s="423">
        <v>1377</v>
      </c>
      <c r="T125" s="442"/>
      <c r="U125" s="424" t="s">
        <v>860</v>
      </c>
      <c r="V125" s="419" t="s">
        <v>895</v>
      </c>
      <c r="W125" s="419"/>
      <c r="X125" s="542"/>
      <c r="Y125" s="542"/>
      <c r="Z125" s="542"/>
    </row>
    <row r="126" spans="1:26" s="71" customFormat="1" ht="14.25" customHeight="1">
      <c r="A126" s="423" t="s">
        <v>2707</v>
      </c>
      <c r="B126" s="420" t="s">
        <v>316</v>
      </c>
      <c r="C126" s="420" t="s">
        <v>469</v>
      </c>
      <c r="D126" s="472" t="s">
        <v>2787</v>
      </c>
      <c r="E126" s="419" t="s">
        <v>1372</v>
      </c>
      <c r="F126" s="419" t="s">
        <v>466</v>
      </c>
      <c r="G126" s="419" t="s">
        <v>469</v>
      </c>
      <c r="H126" s="419"/>
      <c r="I126" s="419"/>
      <c r="J126" s="419" t="s">
        <v>798</v>
      </c>
      <c r="K126" s="419" t="s">
        <v>798</v>
      </c>
      <c r="L126" s="419" t="s">
        <v>883</v>
      </c>
      <c r="M126" s="419" t="s">
        <v>795</v>
      </c>
      <c r="N126" s="419">
        <v>20.39902</v>
      </c>
      <c r="O126" s="419">
        <v>93.249669999999995</v>
      </c>
      <c r="P126" s="419" t="s">
        <v>799</v>
      </c>
      <c r="Q126" s="419" t="s">
        <v>780</v>
      </c>
      <c r="R126" s="422">
        <v>86</v>
      </c>
      <c r="S126" s="423">
        <v>476</v>
      </c>
      <c r="T126" s="442"/>
      <c r="U126" s="424"/>
      <c r="V126" s="419" t="s">
        <v>894</v>
      </c>
      <c r="W126" s="419"/>
      <c r="X126" s="542"/>
      <c r="Y126" s="542"/>
      <c r="Z126" s="542"/>
    </row>
    <row r="127" spans="1:26" s="71" customFormat="1" ht="14.25" customHeight="1">
      <c r="A127" s="423" t="s">
        <v>2707</v>
      </c>
      <c r="B127" s="420" t="s">
        <v>316</v>
      </c>
      <c r="C127" s="420" t="s">
        <v>2657</v>
      </c>
      <c r="D127" s="472"/>
      <c r="E127" s="71">
        <v>197039</v>
      </c>
      <c r="J127" s="71" t="s">
        <v>798</v>
      </c>
      <c r="K127" s="71" t="s">
        <v>798</v>
      </c>
      <c r="L127" s="71" t="s">
        <v>798</v>
      </c>
      <c r="R127" s="99"/>
      <c r="S127" s="100"/>
      <c r="T127" s="105"/>
      <c r="U127" s="101"/>
      <c r="X127" s="542"/>
      <c r="Y127" s="542"/>
      <c r="Z127" s="542"/>
    </row>
    <row r="128" spans="1:26" s="71" customFormat="1" ht="14.25" customHeight="1">
      <c r="A128" s="423" t="s">
        <v>2707</v>
      </c>
      <c r="B128" s="420" t="s">
        <v>316</v>
      </c>
      <c r="C128" s="420" t="s">
        <v>1853</v>
      </c>
      <c r="D128" s="472"/>
      <c r="E128" s="71">
        <v>197023</v>
      </c>
      <c r="J128" s="71" t="s">
        <v>798</v>
      </c>
      <c r="K128" s="71" t="s">
        <v>798</v>
      </c>
      <c r="L128" s="71" t="s">
        <v>798</v>
      </c>
      <c r="R128" s="99"/>
      <c r="S128" s="423"/>
      <c r="T128" s="105"/>
      <c r="U128" s="101"/>
      <c r="X128" s="542"/>
      <c r="Y128" s="542"/>
      <c r="Z128" s="542"/>
    </row>
    <row r="129" spans="1:26" s="71" customFormat="1" ht="14.25" customHeight="1">
      <c r="A129" s="423" t="s">
        <v>2707</v>
      </c>
      <c r="B129" s="420" t="s">
        <v>316</v>
      </c>
      <c r="C129" s="420" t="s">
        <v>2649</v>
      </c>
      <c r="D129" s="472"/>
      <c r="E129" s="71">
        <v>197022</v>
      </c>
      <c r="J129" s="71" t="s">
        <v>798</v>
      </c>
      <c r="K129" s="71" t="s">
        <v>798</v>
      </c>
      <c r="L129" s="71" t="s">
        <v>798</v>
      </c>
      <c r="O129" s="419"/>
      <c r="R129" s="422"/>
      <c r="S129" s="423"/>
      <c r="T129" s="105"/>
      <c r="U129" s="101"/>
      <c r="W129" s="419"/>
      <c r="X129" s="542"/>
      <c r="Y129" s="542"/>
      <c r="Z129" s="542"/>
    </row>
    <row r="130" spans="1:26" s="71" customFormat="1" ht="14.25" customHeight="1">
      <c r="A130" s="423" t="s">
        <v>2707</v>
      </c>
      <c r="B130" s="420" t="s">
        <v>316</v>
      </c>
      <c r="C130" s="420" t="s">
        <v>2670</v>
      </c>
      <c r="D130" s="472"/>
      <c r="E130" s="71">
        <v>197114</v>
      </c>
      <c r="F130" s="71" t="s">
        <v>2754</v>
      </c>
      <c r="J130" s="71" t="s">
        <v>798</v>
      </c>
      <c r="K130" s="419" t="s">
        <v>798</v>
      </c>
      <c r="L130" s="419" t="s">
        <v>798</v>
      </c>
      <c r="R130" s="422"/>
      <c r="S130" s="100"/>
      <c r="T130" s="105"/>
      <c r="U130" s="101"/>
      <c r="X130" s="542"/>
      <c r="Y130" s="542"/>
      <c r="Z130" s="542"/>
    </row>
    <row r="131" spans="1:26" s="71" customFormat="1" ht="14.25" customHeight="1">
      <c r="A131" s="423" t="s">
        <v>2707</v>
      </c>
      <c r="B131" s="420" t="s">
        <v>316</v>
      </c>
      <c r="C131" s="420" t="s">
        <v>896</v>
      </c>
      <c r="D131" s="472" t="s">
        <v>2787</v>
      </c>
      <c r="E131" s="71" t="s">
        <v>1376</v>
      </c>
      <c r="F131" s="71" t="s">
        <v>1852</v>
      </c>
      <c r="G131" s="71" t="s">
        <v>1853</v>
      </c>
      <c r="J131" s="71" t="s">
        <v>798</v>
      </c>
      <c r="K131" s="71" t="s">
        <v>798</v>
      </c>
      <c r="L131" s="71" t="s">
        <v>883</v>
      </c>
      <c r="M131" s="71" t="s">
        <v>298</v>
      </c>
      <c r="N131" s="71">
        <v>20.409645000000001</v>
      </c>
      <c r="O131" s="71">
        <v>93.314695</v>
      </c>
      <c r="P131" s="71" t="s">
        <v>799</v>
      </c>
      <c r="R131" s="422">
        <v>18</v>
      </c>
      <c r="S131" s="423">
        <v>72</v>
      </c>
      <c r="T131" s="105"/>
      <c r="U131" s="101" t="s">
        <v>860</v>
      </c>
      <c r="V131" s="71" t="s">
        <v>896</v>
      </c>
      <c r="X131" s="542"/>
      <c r="Y131" s="542"/>
      <c r="Z131" s="542"/>
    </row>
    <row r="132" spans="1:26" s="71" customFormat="1" ht="14.25" customHeight="1">
      <c r="A132" s="423" t="s">
        <v>2707</v>
      </c>
      <c r="B132" s="419" t="s">
        <v>316</v>
      </c>
      <c r="C132" s="420" t="s">
        <v>494</v>
      </c>
      <c r="D132" s="472" t="s">
        <v>1654</v>
      </c>
      <c r="E132" s="71">
        <v>197067</v>
      </c>
      <c r="J132" s="71" t="s">
        <v>798</v>
      </c>
      <c r="K132" s="71" t="s">
        <v>798</v>
      </c>
      <c r="L132" s="71" t="s">
        <v>798</v>
      </c>
      <c r="M132" s="71" t="s">
        <v>298</v>
      </c>
      <c r="N132" s="71">
        <v>20.51997948</v>
      </c>
      <c r="O132" s="71">
        <v>93.277252200000007</v>
      </c>
      <c r="P132" s="71" t="s">
        <v>799</v>
      </c>
      <c r="Q132" s="71" t="s">
        <v>780</v>
      </c>
      <c r="R132" s="422"/>
      <c r="S132" s="423"/>
      <c r="T132" s="105"/>
      <c r="U132" s="101"/>
      <c r="W132" s="419"/>
      <c r="X132" s="542"/>
      <c r="Y132" s="542"/>
      <c r="Z132" s="542"/>
    </row>
    <row r="133" spans="1:26" s="71" customFormat="1" ht="14.25" customHeight="1">
      <c r="A133" s="423" t="s">
        <v>2707</v>
      </c>
      <c r="B133" s="420" t="s">
        <v>316</v>
      </c>
      <c r="C133" s="420" t="s">
        <v>1137</v>
      </c>
      <c r="D133" s="472" t="s">
        <v>1654</v>
      </c>
      <c r="E133" s="71">
        <v>196999</v>
      </c>
      <c r="J133" s="71" t="s">
        <v>798</v>
      </c>
      <c r="K133" s="71" t="s">
        <v>798</v>
      </c>
      <c r="L133" s="71" t="s">
        <v>798</v>
      </c>
      <c r="M133" s="71" t="s">
        <v>795</v>
      </c>
      <c r="P133" s="71" t="s">
        <v>799</v>
      </c>
      <c r="R133" s="99"/>
      <c r="S133" s="423"/>
      <c r="T133" s="105"/>
      <c r="U133" s="101"/>
      <c r="X133" s="542"/>
      <c r="Y133" s="542"/>
      <c r="Z133" s="542"/>
    </row>
    <row r="134" spans="1:26" s="71" customFormat="1" ht="14.25" customHeight="1">
      <c r="A134" s="423" t="s">
        <v>2707</v>
      </c>
      <c r="B134" s="420" t="s">
        <v>316</v>
      </c>
      <c r="C134" s="420" t="s">
        <v>467</v>
      </c>
      <c r="D134" s="472" t="s">
        <v>1654</v>
      </c>
      <c r="E134" s="71">
        <v>196998</v>
      </c>
      <c r="J134" s="71" t="s">
        <v>798</v>
      </c>
      <c r="K134" s="71" t="s">
        <v>798</v>
      </c>
      <c r="L134" s="71" t="s">
        <v>798</v>
      </c>
      <c r="M134" s="71" t="s">
        <v>298</v>
      </c>
      <c r="N134" s="71">
        <v>20.396680830000001</v>
      </c>
      <c r="O134" s="71">
        <v>93.252868649999996</v>
      </c>
      <c r="P134" s="71" t="s">
        <v>799</v>
      </c>
      <c r="Q134" s="71" t="s">
        <v>780</v>
      </c>
      <c r="R134" s="99"/>
      <c r="S134" s="100"/>
      <c r="T134" s="105"/>
      <c r="U134" s="101"/>
      <c r="V134" s="71" t="s">
        <v>891</v>
      </c>
      <c r="X134" s="542"/>
      <c r="Y134" s="542"/>
      <c r="Z134" s="542"/>
    </row>
    <row r="135" spans="1:26" s="71" customFormat="1" ht="14.25" customHeight="1">
      <c r="A135" s="423" t="s">
        <v>2707</v>
      </c>
      <c r="B135" s="420" t="s">
        <v>316</v>
      </c>
      <c r="C135" s="420" t="s">
        <v>2673</v>
      </c>
      <c r="D135" s="472"/>
      <c r="E135" s="71">
        <v>220653</v>
      </c>
      <c r="J135" s="71" t="s">
        <v>798</v>
      </c>
      <c r="K135" s="71" t="s">
        <v>798</v>
      </c>
      <c r="L135" s="71" t="s">
        <v>798</v>
      </c>
      <c r="R135" s="99"/>
      <c r="S135" s="100"/>
      <c r="T135" s="105"/>
      <c r="U135" s="101"/>
      <c r="X135" s="542"/>
      <c r="Y135" s="542"/>
      <c r="Z135" s="542"/>
    </row>
    <row r="136" spans="1:26" s="71" customFormat="1" ht="14.25" customHeight="1">
      <c r="A136" s="423" t="s">
        <v>2707</v>
      </c>
      <c r="B136" s="420" t="s">
        <v>316</v>
      </c>
      <c r="C136" s="420" t="s">
        <v>2664</v>
      </c>
      <c r="D136" s="472"/>
      <c r="E136" s="71">
        <v>197092</v>
      </c>
      <c r="J136" s="71" t="s">
        <v>798</v>
      </c>
      <c r="K136" s="71" t="s">
        <v>798</v>
      </c>
      <c r="L136" s="71" t="s">
        <v>798</v>
      </c>
      <c r="R136" s="422"/>
      <c r="S136" s="100"/>
      <c r="T136" s="105"/>
      <c r="U136" s="101"/>
      <c r="W136" s="419"/>
      <c r="X136" s="542"/>
      <c r="Y136" s="542"/>
      <c r="Z136" s="542"/>
    </row>
    <row r="137" spans="1:26" s="71" customFormat="1" ht="14.25" customHeight="1">
      <c r="A137" s="423" t="s">
        <v>2707</v>
      </c>
      <c r="B137" s="420" t="s">
        <v>316</v>
      </c>
      <c r="C137" s="420" t="s">
        <v>2665</v>
      </c>
      <c r="D137" s="472"/>
      <c r="E137" s="71">
        <v>197100</v>
      </c>
      <c r="F137" s="419" t="s">
        <v>2755</v>
      </c>
      <c r="J137" s="71" t="s">
        <v>798</v>
      </c>
      <c r="K137" s="71" t="s">
        <v>798</v>
      </c>
      <c r="L137" s="71" t="s">
        <v>798</v>
      </c>
      <c r="Q137" s="419"/>
      <c r="R137" s="422"/>
      <c r="S137" s="423"/>
      <c r="T137" s="442"/>
      <c r="U137" s="101"/>
      <c r="W137" s="419"/>
      <c r="X137" s="542"/>
      <c r="Y137" s="542"/>
      <c r="Z137" s="542"/>
    </row>
    <row r="138" spans="1:26" s="71" customFormat="1" ht="14.25" customHeight="1">
      <c r="A138" s="423" t="s">
        <v>2707</v>
      </c>
      <c r="B138" s="420" t="s">
        <v>316</v>
      </c>
      <c r="C138" s="420" t="s">
        <v>2656</v>
      </c>
      <c r="D138" s="472"/>
      <c r="E138" s="71">
        <v>197040</v>
      </c>
      <c r="J138" s="71" t="s">
        <v>798</v>
      </c>
      <c r="K138" s="71" t="s">
        <v>798</v>
      </c>
      <c r="L138" s="71" t="s">
        <v>798</v>
      </c>
      <c r="R138" s="422"/>
      <c r="S138" s="423"/>
      <c r="T138" s="105"/>
      <c r="U138" s="101"/>
      <c r="W138" s="419"/>
      <c r="X138" s="542"/>
      <c r="Y138" s="542"/>
      <c r="Z138" s="542"/>
    </row>
    <row r="139" spans="1:26" s="71" customFormat="1" ht="14.25" customHeight="1">
      <c r="A139" s="423" t="s">
        <v>2707</v>
      </c>
      <c r="B139" s="420" t="s">
        <v>316</v>
      </c>
      <c r="C139" s="420" t="s">
        <v>2672</v>
      </c>
      <c r="D139" s="472"/>
      <c r="E139" s="71">
        <v>197112</v>
      </c>
      <c r="J139" s="71" t="s">
        <v>798</v>
      </c>
      <c r="K139" s="71" t="s">
        <v>798</v>
      </c>
      <c r="L139" s="419" t="s">
        <v>798</v>
      </c>
      <c r="R139" s="422"/>
      <c r="S139" s="100"/>
      <c r="T139" s="105"/>
      <c r="U139" s="101"/>
      <c r="W139" s="419"/>
      <c r="X139" s="542"/>
      <c r="Y139" s="542"/>
      <c r="Z139" s="542"/>
    </row>
    <row r="140" spans="1:26" s="71" customFormat="1" ht="14.25" customHeight="1">
      <c r="A140" s="423" t="s">
        <v>2707</v>
      </c>
      <c r="B140" s="420" t="s">
        <v>316</v>
      </c>
      <c r="C140" s="75" t="s">
        <v>2663</v>
      </c>
      <c r="D140" s="472"/>
      <c r="E140" s="419"/>
      <c r="F140" s="419"/>
      <c r="G140" s="419"/>
      <c r="H140" s="419"/>
      <c r="I140" s="419"/>
      <c r="J140" s="71" t="s">
        <v>798</v>
      </c>
      <c r="K140" s="419" t="s">
        <v>798</v>
      </c>
      <c r="L140" s="419" t="s">
        <v>798</v>
      </c>
      <c r="M140" s="419"/>
      <c r="N140" s="419"/>
      <c r="O140" s="419"/>
      <c r="Q140" s="419"/>
      <c r="R140" s="422"/>
      <c r="S140" s="423"/>
      <c r="T140" s="442"/>
      <c r="U140" s="424"/>
      <c r="V140" s="419"/>
      <c r="W140" s="419"/>
      <c r="X140" s="542"/>
      <c r="Y140" s="542"/>
      <c r="Z140" s="542"/>
    </row>
    <row r="141" spans="1:26" s="71" customFormat="1" ht="14.25" customHeight="1">
      <c r="A141" s="423" t="s">
        <v>2707</v>
      </c>
      <c r="B141" s="420" t="s">
        <v>316</v>
      </c>
      <c r="C141" s="420" t="s">
        <v>464</v>
      </c>
      <c r="D141" s="472" t="s">
        <v>2787</v>
      </c>
      <c r="E141" s="71" t="s">
        <v>1371</v>
      </c>
      <c r="F141" s="419" t="s">
        <v>1744</v>
      </c>
      <c r="G141" s="71" t="s">
        <v>1745</v>
      </c>
      <c r="J141" s="71" t="s">
        <v>798</v>
      </c>
      <c r="K141" s="419" t="s">
        <v>798</v>
      </c>
      <c r="L141" s="419" t="s">
        <v>883</v>
      </c>
      <c r="M141" s="71" t="s">
        <v>795</v>
      </c>
      <c r="N141" s="71">
        <v>20.392137999999999</v>
      </c>
      <c r="O141" s="71">
        <v>93.257272</v>
      </c>
      <c r="P141" s="71" t="s">
        <v>799</v>
      </c>
      <c r="Q141" s="71" t="s">
        <v>780</v>
      </c>
      <c r="R141" s="422">
        <v>203</v>
      </c>
      <c r="S141" s="423">
        <v>1420</v>
      </c>
      <c r="T141" s="105"/>
      <c r="U141" s="101"/>
      <c r="V141" s="71" t="s">
        <v>888</v>
      </c>
      <c r="W141" s="419"/>
      <c r="X141" s="542"/>
      <c r="Y141" s="542"/>
      <c r="Z141" s="542"/>
    </row>
    <row r="142" spans="1:26" s="71" customFormat="1" ht="14.25" customHeight="1">
      <c r="A142" s="423" t="s">
        <v>2707</v>
      </c>
      <c r="B142" s="420" t="s">
        <v>316</v>
      </c>
      <c r="C142" s="420" t="s">
        <v>509</v>
      </c>
      <c r="D142" s="472" t="s">
        <v>2787</v>
      </c>
      <c r="E142" s="71" t="s">
        <v>1383</v>
      </c>
      <c r="F142" s="71" t="s">
        <v>1746</v>
      </c>
      <c r="G142" s="71" t="s">
        <v>1746</v>
      </c>
      <c r="J142" s="71" t="s">
        <v>798</v>
      </c>
      <c r="K142" s="71" t="s">
        <v>798</v>
      </c>
      <c r="L142" s="71" t="s">
        <v>883</v>
      </c>
      <c r="M142" s="71" t="s">
        <v>795</v>
      </c>
      <c r="N142" s="419">
        <v>20.587142</v>
      </c>
      <c r="O142" s="419">
        <v>93.258573999999996</v>
      </c>
      <c r="P142" s="71" t="s">
        <v>799</v>
      </c>
      <c r="R142" s="422">
        <v>275</v>
      </c>
      <c r="S142" s="423">
        <v>1707</v>
      </c>
      <c r="T142" s="105"/>
      <c r="U142" s="101" t="s">
        <v>860</v>
      </c>
      <c r="V142" s="71" t="s">
        <v>509</v>
      </c>
      <c r="X142" s="542"/>
      <c r="Y142" s="542"/>
      <c r="Z142" s="542"/>
    </row>
    <row r="143" spans="1:26" s="71" customFormat="1" ht="14.25" customHeight="1">
      <c r="A143" s="423" t="s">
        <v>2707</v>
      </c>
      <c r="B143" s="420" t="s">
        <v>316</v>
      </c>
      <c r="C143" s="420" t="s">
        <v>2655</v>
      </c>
      <c r="D143" s="472"/>
      <c r="E143" s="419">
        <v>197033</v>
      </c>
      <c r="F143" s="419"/>
      <c r="G143" s="419"/>
      <c r="H143" s="419"/>
      <c r="I143" s="419"/>
      <c r="J143" s="71" t="s">
        <v>798</v>
      </c>
      <c r="K143" s="71" t="s">
        <v>798</v>
      </c>
      <c r="L143" s="71" t="s">
        <v>798</v>
      </c>
      <c r="M143" s="419"/>
      <c r="N143" s="419"/>
      <c r="O143" s="419"/>
      <c r="Q143" s="419"/>
      <c r="R143" s="422"/>
      <c r="S143" s="423"/>
      <c r="T143" s="442"/>
      <c r="U143" s="424"/>
      <c r="V143" s="419"/>
      <c r="W143" s="419"/>
      <c r="X143" s="542"/>
      <c r="Y143" s="542"/>
      <c r="Z143" s="542"/>
    </row>
    <row r="144" spans="1:26" s="71" customFormat="1" ht="14.25" customHeight="1">
      <c r="A144" s="423" t="s">
        <v>2707</v>
      </c>
      <c r="B144" s="420" t="s">
        <v>316</v>
      </c>
      <c r="C144" s="420" t="s">
        <v>1745</v>
      </c>
      <c r="D144" s="472"/>
      <c r="E144" s="71">
        <v>196997</v>
      </c>
      <c r="F144" s="419"/>
      <c r="J144" s="71" t="s">
        <v>798</v>
      </c>
      <c r="K144" s="71" t="s">
        <v>798</v>
      </c>
      <c r="L144" s="71" t="s">
        <v>798</v>
      </c>
      <c r="R144" s="422"/>
      <c r="S144" s="423"/>
      <c r="T144" s="105"/>
      <c r="U144" s="101"/>
      <c r="W144" s="419"/>
      <c r="X144" s="542"/>
      <c r="Y144" s="542"/>
      <c r="Z144" s="542"/>
    </row>
    <row r="145" spans="1:26" s="71" customFormat="1" ht="14.25" customHeight="1">
      <c r="A145" s="423" t="s">
        <v>2707</v>
      </c>
      <c r="B145" s="420" t="s">
        <v>316</v>
      </c>
      <c r="C145" s="420" t="s">
        <v>2654</v>
      </c>
      <c r="D145" s="472"/>
      <c r="E145" s="71">
        <v>197036</v>
      </c>
      <c r="J145" s="71" t="s">
        <v>798</v>
      </c>
      <c r="K145" s="71" t="s">
        <v>798</v>
      </c>
      <c r="L145" s="71" t="s">
        <v>798</v>
      </c>
      <c r="R145" s="99"/>
      <c r="S145" s="423"/>
      <c r="T145" s="105"/>
      <c r="U145" s="101"/>
      <c r="X145" s="542"/>
      <c r="Y145" s="542"/>
      <c r="Z145" s="542"/>
    </row>
    <row r="146" spans="1:26" s="71" customFormat="1" ht="14.25" customHeight="1">
      <c r="A146" s="423" t="s">
        <v>2707</v>
      </c>
      <c r="B146" s="420" t="s">
        <v>316</v>
      </c>
      <c r="C146" s="420" t="s">
        <v>2661</v>
      </c>
      <c r="D146" s="472"/>
      <c r="E146" s="71">
        <v>197089</v>
      </c>
      <c r="J146" s="71" t="s">
        <v>798</v>
      </c>
      <c r="K146" s="71" t="s">
        <v>798</v>
      </c>
      <c r="L146" s="71" t="s">
        <v>798</v>
      </c>
      <c r="R146" s="99"/>
      <c r="S146" s="423"/>
      <c r="T146" s="105"/>
      <c r="U146" s="101"/>
      <c r="W146" s="419"/>
      <c r="X146" s="542"/>
      <c r="Y146" s="542"/>
      <c r="Z146" s="542"/>
    </row>
    <row r="147" spans="1:26" s="71" customFormat="1" ht="14.25" customHeight="1">
      <c r="A147" s="423" t="s">
        <v>2707</v>
      </c>
      <c r="B147" s="420" t="s">
        <v>316</v>
      </c>
      <c r="C147" s="420" t="s">
        <v>2667</v>
      </c>
      <c r="D147" s="472"/>
      <c r="E147" s="71">
        <v>197102</v>
      </c>
      <c r="F147" s="419" t="s">
        <v>2756</v>
      </c>
      <c r="J147" s="71" t="s">
        <v>798</v>
      </c>
      <c r="K147" s="71" t="s">
        <v>798</v>
      </c>
      <c r="L147" s="71" t="s">
        <v>798</v>
      </c>
      <c r="R147" s="99"/>
      <c r="S147" s="423"/>
      <c r="T147" s="105"/>
      <c r="U147" s="101"/>
      <c r="X147" s="542"/>
      <c r="Y147" s="542"/>
      <c r="Z147" s="542"/>
    </row>
    <row r="148" spans="1:26" s="71" customFormat="1" ht="14.25" customHeight="1">
      <c r="A148" s="426" t="s">
        <v>2707</v>
      </c>
      <c r="B148" s="426" t="s">
        <v>316</v>
      </c>
      <c r="C148" s="427" t="s">
        <v>2802</v>
      </c>
      <c r="D148" s="421"/>
      <c r="E148" s="71">
        <v>197047</v>
      </c>
      <c r="J148" s="71" t="s">
        <v>2715</v>
      </c>
      <c r="K148" s="71" t="s">
        <v>2677</v>
      </c>
      <c r="L148" s="71" t="s">
        <v>2677</v>
      </c>
      <c r="N148" s="71">
        <v>20.454280853271499</v>
      </c>
      <c r="O148" s="71">
        <v>93.281562805175795</v>
      </c>
      <c r="R148" s="430"/>
      <c r="S148" s="423"/>
      <c r="T148" s="105">
        <v>43591</v>
      </c>
      <c r="U148" s="430"/>
      <c r="W148" s="422"/>
      <c r="X148" s="542"/>
      <c r="Y148" s="542"/>
      <c r="Z148" s="542"/>
    </row>
    <row r="149" spans="1:26" s="71" customFormat="1" ht="14.25" customHeight="1">
      <c r="A149" s="426" t="s">
        <v>2707</v>
      </c>
      <c r="B149" s="426" t="s">
        <v>316</v>
      </c>
      <c r="C149" s="427" t="s">
        <v>2821</v>
      </c>
      <c r="D149" s="421"/>
      <c r="E149" s="71">
        <v>197051</v>
      </c>
      <c r="J149" s="71" t="s">
        <v>2715</v>
      </c>
      <c r="K149" s="71" t="s">
        <v>2677</v>
      </c>
      <c r="L149" s="71" t="s">
        <v>2677</v>
      </c>
      <c r="N149" s="419">
        <v>20.599809646606399</v>
      </c>
      <c r="O149" s="419">
        <v>93.265541076660199</v>
      </c>
      <c r="R149" s="430"/>
      <c r="S149" s="100"/>
      <c r="T149" s="105">
        <v>43591</v>
      </c>
      <c r="U149" s="430"/>
      <c r="W149" s="422"/>
      <c r="X149" s="542"/>
      <c r="Y149" s="542"/>
      <c r="Z149" s="542"/>
    </row>
    <row r="150" spans="1:26" s="71" customFormat="1" ht="14.25" customHeight="1">
      <c r="A150" s="423" t="s">
        <v>2707</v>
      </c>
      <c r="B150" s="419" t="s">
        <v>475</v>
      </c>
      <c r="C150" s="419" t="s">
        <v>552</v>
      </c>
      <c r="D150" s="472" t="s">
        <v>1654</v>
      </c>
      <c r="E150" s="419">
        <v>196643</v>
      </c>
      <c r="F150" s="419"/>
      <c r="G150" s="419"/>
      <c r="H150" s="419"/>
      <c r="I150" s="419"/>
      <c r="J150" s="419" t="s">
        <v>798</v>
      </c>
      <c r="K150" s="419" t="s">
        <v>798</v>
      </c>
      <c r="L150" s="419" t="s">
        <v>798</v>
      </c>
      <c r="M150" s="419" t="s">
        <v>795</v>
      </c>
      <c r="N150" s="419">
        <v>20.69722939</v>
      </c>
      <c r="O150" s="419">
        <v>93.044059750000002</v>
      </c>
      <c r="P150" s="71" t="s">
        <v>799</v>
      </c>
      <c r="Q150" s="419" t="s">
        <v>780</v>
      </c>
      <c r="R150" s="422"/>
      <c r="S150" s="423"/>
      <c r="T150" s="442"/>
      <c r="U150" s="424"/>
      <c r="V150" s="419" t="s">
        <v>929</v>
      </c>
      <c r="W150" s="419"/>
      <c r="X150" s="542"/>
      <c r="Y150" s="542"/>
      <c r="Z150" s="542"/>
    </row>
    <row r="151" spans="1:26" s="71" customFormat="1" ht="14.25" customHeight="1">
      <c r="A151" s="426" t="s">
        <v>2707</v>
      </c>
      <c r="B151" s="426" t="s">
        <v>475</v>
      </c>
      <c r="C151" s="427" t="s">
        <v>2864</v>
      </c>
      <c r="D151" s="421"/>
      <c r="E151" s="71">
        <v>196610</v>
      </c>
      <c r="F151" s="419"/>
      <c r="J151" s="71" t="s">
        <v>2715</v>
      </c>
      <c r="K151" s="71" t="s">
        <v>2677</v>
      </c>
      <c r="L151" s="71" t="s">
        <v>2677</v>
      </c>
      <c r="N151" s="71">
        <v>20.710781097412099</v>
      </c>
      <c r="O151" s="71">
        <v>93.127502441406307</v>
      </c>
      <c r="R151" s="430"/>
      <c r="S151" s="423"/>
      <c r="T151" s="105">
        <v>43591</v>
      </c>
      <c r="U151" s="430"/>
      <c r="W151" s="422"/>
      <c r="X151" s="542"/>
      <c r="Y151" s="542"/>
      <c r="Z151" s="542"/>
    </row>
    <row r="152" spans="1:26" s="71" customFormat="1" ht="14.25" customHeight="1">
      <c r="A152" s="426" t="s">
        <v>2707</v>
      </c>
      <c r="B152" s="426" t="s">
        <v>475</v>
      </c>
      <c r="C152" s="427" t="s">
        <v>2811</v>
      </c>
      <c r="D152" s="421"/>
      <c r="E152" s="71" t="s">
        <v>2865</v>
      </c>
      <c r="J152" s="71" t="s">
        <v>2715</v>
      </c>
      <c r="K152" s="71" t="s">
        <v>2677</v>
      </c>
      <c r="L152" s="71" t="s">
        <v>2677</v>
      </c>
      <c r="R152" s="430"/>
      <c r="S152" s="423"/>
      <c r="T152" s="105">
        <v>43591</v>
      </c>
      <c r="U152" s="430"/>
      <c r="W152" s="422"/>
      <c r="X152" s="542"/>
      <c r="Y152" s="542"/>
      <c r="Z152" s="542"/>
    </row>
    <row r="153" spans="1:26" s="71" customFormat="1" ht="14.25" customHeight="1">
      <c r="A153" s="426" t="s">
        <v>2707</v>
      </c>
      <c r="B153" s="426" t="s">
        <v>475</v>
      </c>
      <c r="C153" s="427" t="s">
        <v>2812</v>
      </c>
      <c r="D153" s="421"/>
      <c r="E153" s="71" t="s">
        <v>2865</v>
      </c>
      <c r="J153" s="71" t="s">
        <v>2715</v>
      </c>
      <c r="K153" s="71" t="s">
        <v>2677</v>
      </c>
      <c r="L153" s="71" t="s">
        <v>2677</v>
      </c>
      <c r="R153" s="430"/>
      <c r="S153" s="423"/>
      <c r="T153" s="105">
        <v>43591</v>
      </c>
      <c r="U153" s="430"/>
      <c r="W153" s="422"/>
      <c r="X153" s="542"/>
      <c r="Y153" s="542"/>
      <c r="Z153" s="542"/>
    </row>
    <row r="154" spans="1:26" s="71" customFormat="1" ht="14.25" customHeight="1">
      <c r="A154" s="426" t="s">
        <v>2707</v>
      </c>
      <c r="B154" s="426" t="s">
        <v>475</v>
      </c>
      <c r="C154" s="427" t="s">
        <v>2813</v>
      </c>
      <c r="D154" s="421"/>
      <c r="E154" s="419" t="s">
        <v>2865</v>
      </c>
      <c r="F154" s="419"/>
      <c r="J154" s="71" t="s">
        <v>2715</v>
      </c>
      <c r="K154" s="419" t="s">
        <v>2677</v>
      </c>
      <c r="L154" s="419" t="s">
        <v>2677</v>
      </c>
      <c r="R154" s="430"/>
      <c r="S154" s="423"/>
      <c r="T154" s="105">
        <v>43591</v>
      </c>
      <c r="U154" s="430"/>
      <c r="W154" s="422"/>
      <c r="X154" s="542"/>
      <c r="Y154" s="542"/>
      <c r="Z154" s="542"/>
    </row>
    <row r="155" spans="1:26" s="71" customFormat="1" ht="14.25" customHeight="1">
      <c r="A155" s="426" t="s">
        <v>2707</v>
      </c>
      <c r="B155" s="426" t="s">
        <v>475</v>
      </c>
      <c r="C155" s="427" t="s">
        <v>2814</v>
      </c>
      <c r="D155" s="421"/>
      <c r="E155" s="71" t="s">
        <v>2865</v>
      </c>
      <c r="F155" s="419"/>
      <c r="J155" s="71" t="s">
        <v>2715</v>
      </c>
      <c r="K155" s="419" t="s">
        <v>2677</v>
      </c>
      <c r="L155" s="419" t="s">
        <v>2677</v>
      </c>
      <c r="R155" s="430"/>
      <c r="S155" s="423"/>
      <c r="T155" s="105">
        <v>43591</v>
      </c>
      <c r="U155" s="430"/>
      <c r="W155" s="422"/>
      <c r="X155" s="542"/>
      <c r="Y155" s="542"/>
      <c r="Z155" s="542"/>
    </row>
    <row r="156" spans="1:26" s="71" customFormat="1" ht="14.25" customHeight="1">
      <c r="A156" s="426" t="s">
        <v>2707</v>
      </c>
      <c r="B156" s="426" t="s">
        <v>475</v>
      </c>
      <c r="C156" s="427" t="s">
        <v>2815</v>
      </c>
      <c r="D156" s="421"/>
      <c r="E156" s="419" t="s">
        <v>2865</v>
      </c>
      <c r="J156" s="71" t="s">
        <v>2715</v>
      </c>
      <c r="K156" s="71" t="s">
        <v>2677</v>
      </c>
      <c r="L156" s="71" t="s">
        <v>2677</v>
      </c>
      <c r="R156" s="430"/>
      <c r="S156" s="423"/>
      <c r="T156" s="105">
        <v>43591</v>
      </c>
      <c r="U156" s="430"/>
      <c r="W156" s="422"/>
      <c r="X156" s="542"/>
      <c r="Y156" s="542"/>
      <c r="Z156" s="542"/>
    </row>
    <row r="157" spans="1:26" s="71" customFormat="1" ht="14.25" customHeight="1">
      <c r="A157" s="100" t="s">
        <v>2707</v>
      </c>
      <c r="B157" s="419" t="s">
        <v>475</v>
      </c>
      <c r="C157" s="419" t="s">
        <v>487</v>
      </c>
      <c r="D157" s="472" t="s">
        <v>1654</v>
      </c>
      <c r="E157" s="71">
        <v>196508</v>
      </c>
      <c r="F157" s="419"/>
      <c r="J157" s="71" t="s">
        <v>798</v>
      </c>
      <c r="K157" s="419" t="s">
        <v>798</v>
      </c>
      <c r="L157" s="419" t="s">
        <v>798</v>
      </c>
      <c r="M157" s="71" t="s">
        <v>298</v>
      </c>
      <c r="N157" s="71">
        <v>20.489089969999998</v>
      </c>
      <c r="O157" s="71">
        <v>93.211738589999996</v>
      </c>
      <c r="P157" s="71" t="s">
        <v>799</v>
      </c>
      <c r="Q157" s="71" t="s">
        <v>780</v>
      </c>
      <c r="R157" s="422"/>
      <c r="S157" s="423"/>
      <c r="T157" s="105"/>
      <c r="U157" s="101"/>
      <c r="V157" s="71" t="s">
        <v>900</v>
      </c>
      <c r="X157" s="542"/>
      <c r="Y157" s="542"/>
      <c r="Z157" s="542"/>
    </row>
    <row r="158" spans="1:26" s="71" customFormat="1" ht="14.25" customHeight="1">
      <c r="A158" s="423" t="s">
        <v>2707</v>
      </c>
      <c r="B158" s="419" t="s">
        <v>475</v>
      </c>
      <c r="C158" s="419" t="s">
        <v>2626</v>
      </c>
      <c r="D158" s="472"/>
      <c r="F158" s="419"/>
      <c r="J158" s="71" t="s">
        <v>2715</v>
      </c>
      <c r="K158" s="71" t="s">
        <v>2677</v>
      </c>
      <c r="L158" s="71" t="s">
        <v>2677</v>
      </c>
      <c r="R158" s="422"/>
      <c r="S158" s="423"/>
      <c r="T158" s="105"/>
      <c r="U158" s="101"/>
      <c r="X158" s="542"/>
      <c r="Y158" s="542"/>
      <c r="Z158" s="542"/>
    </row>
    <row r="159" spans="1:26" s="71" customFormat="1" ht="14.25" customHeight="1">
      <c r="A159" s="426" t="s">
        <v>2707</v>
      </c>
      <c r="B159" s="426" t="s">
        <v>475</v>
      </c>
      <c r="C159" s="427" t="s">
        <v>555</v>
      </c>
      <c r="D159" s="421"/>
      <c r="J159" s="71" t="s">
        <v>2715</v>
      </c>
      <c r="K159" s="71" t="s">
        <v>2677</v>
      </c>
      <c r="L159" s="71" t="s">
        <v>2677</v>
      </c>
      <c r="R159" s="430"/>
      <c r="S159" s="423"/>
      <c r="T159" s="105">
        <v>43591</v>
      </c>
      <c r="U159" s="430"/>
      <c r="W159" s="422"/>
      <c r="X159" s="542"/>
      <c r="Y159" s="542"/>
      <c r="Z159" s="542"/>
    </row>
    <row r="160" spans="1:26" s="71" customFormat="1" ht="14.25" customHeight="1">
      <c r="A160" s="426" t="s">
        <v>2707</v>
      </c>
      <c r="B160" s="426" t="s">
        <v>475</v>
      </c>
      <c r="C160" s="427" t="s">
        <v>2866</v>
      </c>
      <c r="D160" s="421"/>
      <c r="E160" s="71">
        <v>196475</v>
      </c>
      <c r="J160" s="71" t="s">
        <v>2715</v>
      </c>
      <c r="K160" s="71" t="s">
        <v>2677</v>
      </c>
      <c r="L160" s="71" t="s">
        <v>2677</v>
      </c>
      <c r="R160" s="430"/>
      <c r="S160" s="423"/>
      <c r="T160" s="105">
        <v>43591</v>
      </c>
      <c r="U160" s="430"/>
      <c r="W160" s="422"/>
      <c r="X160" s="542"/>
      <c r="Y160" s="542"/>
      <c r="Z160" s="542"/>
    </row>
    <row r="161" spans="1:26" s="71" customFormat="1" ht="14.25" customHeight="1">
      <c r="A161" s="426" t="s">
        <v>2707</v>
      </c>
      <c r="B161" s="426" t="s">
        <v>475</v>
      </c>
      <c r="C161" s="427" t="s">
        <v>2818</v>
      </c>
      <c r="D161" s="421"/>
      <c r="J161" s="71" t="s">
        <v>2715</v>
      </c>
      <c r="K161" s="71" t="s">
        <v>2677</v>
      </c>
      <c r="L161" s="71" t="s">
        <v>2677</v>
      </c>
      <c r="R161" s="430"/>
      <c r="S161" s="423"/>
      <c r="T161" s="105">
        <v>43591</v>
      </c>
      <c r="U161" s="430"/>
      <c r="W161" s="422"/>
      <c r="X161" s="542"/>
      <c r="Y161" s="542"/>
      <c r="Z161" s="542"/>
    </row>
    <row r="162" spans="1:26" s="71" customFormat="1" ht="14.25" customHeight="1">
      <c r="A162" s="423" t="s">
        <v>2707</v>
      </c>
      <c r="B162" s="419" t="s">
        <v>475</v>
      </c>
      <c r="C162" s="419" t="s">
        <v>2619</v>
      </c>
      <c r="D162" s="472"/>
      <c r="J162" s="71" t="s">
        <v>2715</v>
      </c>
      <c r="K162" s="71" t="s">
        <v>2677</v>
      </c>
      <c r="L162" s="71" t="s">
        <v>2714</v>
      </c>
      <c r="R162" s="422"/>
      <c r="S162" s="423"/>
      <c r="T162" s="105"/>
      <c r="U162" s="101" t="s">
        <v>2615</v>
      </c>
      <c r="X162" s="542"/>
      <c r="Y162" s="542"/>
      <c r="Z162" s="542"/>
    </row>
    <row r="163" spans="1:26" s="71" customFormat="1" ht="14.25" customHeight="1">
      <c r="A163" s="423" t="s">
        <v>2707</v>
      </c>
      <c r="B163" s="419" t="s">
        <v>475</v>
      </c>
      <c r="C163" s="419" t="s">
        <v>478</v>
      </c>
      <c r="D163" s="472" t="s">
        <v>1654</v>
      </c>
      <c r="E163" s="71">
        <v>196496</v>
      </c>
      <c r="J163" s="71" t="s">
        <v>798</v>
      </c>
      <c r="K163" s="71" t="s">
        <v>798</v>
      </c>
      <c r="L163" s="71" t="s">
        <v>798</v>
      </c>
      <c r="M163" s="71" t="s">
        <v>298</v>
      </c>
      <c r="N163" s="71">
        <v>20.46477509</v>
      </c>
      <c r="O163" s="71">
        <v>93.269363400000003</v>
      </c>
      <c r="P163" s="71" t="s">
        <v>799</v>
      </c>
      <c r="Q163" s="71" t="s">
        <v>780</v>
      </c>
      <c r="R163" s="422"/>
      <c r="S163" s="423"/>
      <c r="T163" s="105"/>
      <c r="U163" s="101"/>
      <c r="V163" s="71" t="s">
        <v>478</v>
      </c>
      <c r="X163" s="542"/>
      <c r="Y163" s="542"/>
      <c r="Z163" s="542"/>
    </row>
    <row r="164" spans="1:26" s="71" customFormat="1" ht="14.25" customHeight="1">
      <c r="A164" s="423" t="s">
        <v>2707</v>
      </c>
      <c r="B164" s="419" t="s">
        <v>475</v>
      </c>
      <c r="C164" s="419" t="s">
        <v>476</v>
      </c>
      <c r="D164" s="472" t="s">
        <v>1654</v>
      </c>
      <c r="E164" s="71">
        <v>220626</v>
      </c>
      <c r="F164" s="419"/>
      <c r="J164" s="71" t="s">
        <v>798</v>
      </c>
      <c r="K164" s="71" t="s">
        <v>798</v>
      </c>
      <c r="L164" s="71" t="s">
        <v>798</v>
      </c>
      <c r="M164" s="71" t="s">
        <v>298</v>
      </c>
      <c r="N164" s="71">
        <v>20.46252441</v>
      </c>
      <c r="O164" s="71">
        <v>93.257278439999993</v>
      </c>
      <c r="P164" s="419" t="s">
        <v>799</v>
      </c>
      <c r="Q164" s="71" t="s">
        <v>780</v>
      </c>
      <c r="R164" s="422"/>
      <c r="S164" s="423"/>
      <c r="T164" s="105"/>
      <c r="U164" s="101"/>
      <c r="V164" s="71" t="s">
        <v>898</v>
      </c>
      <c r="W164" s="419"/>
      <c r="X164" s="542"/>
      <c r="Y164" s="542"/>
      <c r="Z164" s="542"/>
    </row>
    <row r="165" spans="1:26" s="71" customFormat="1" ht="14.25" customHeight="1">
      <c r="A165" s="423" t="s">
        <v>2707</v>
      </c>
      <c r="B165" s="546" t="s">
        <v>475</v>
      </c>
      <c r="C165" s="546" t="s">
        <v>2867</v>
      </c>
      <c r="D165" s="472"/>
      <c r="E165" s="71">
        <v>196661</v>
      </c>
      <c r="J165" s="71" t="s">
        <v>2715</v>
      </c>
      <c r="K165" s="71" t="s">
        <v>2677</v>
      </c>
      <c r="L165" s="71" t="s">
        <v>2677</v>
      </c>
      <c r="N165" s="71">
        <v>20.829959869384801</v>
      </c>
      <c r="O165" s="71">
        <v>93.073478698730497</v>
      </c>
      <c r="R165" s="422"/>
      <c r="S165" s="423"/>
      <c r="T165" s="105"/>
      <c r="U165" s="101"/>
      <c r="X165" s="542"/>
      <c r="Y165" s="542"/>
      <c r="Z165" s="542"/>
    </row>
    <row r="166" spans="1:26" s="71" customFormat="1" ht="14.25" customHeight="1">
      <c r="A166" s="423" t="s">
        <v>2707</v>
      </c>
      <c r="B166" s="419" t="s">
        <v>475</v>
      </c>
      <c r="C166" s="419" t="s">
        <v>2618</v>
      </c>
      <c r="D166" s="472"/>
      <c r="E166" s="419"/>
      <c r="F166" s="419"/>
      <c r="G166" s="419"/>
      <c r="H166" s="419"/>
      <c r="I166" s="419"/>
      <c r="J166" s="419" t="s">
        <v>2715</v>
      </c>
      <c r="K166" s="419" t="s">
        <v>2677</v>
      </c>
      <c r="L166" s="419" t="s">
        <v>2714</v>
      </c>
      <c r="M166" s="419"/>
      <c r="N166" s="419"/>
      <c r="O166" s="419"/>
      <c r="P166" s="419"/>
      <c r="Q166" s="419"/>
      <c r="R166" s="422"/>
      <c r="S166" s="423"/>
      <c r="T166" s="442"/>
      <c r="U166" s="424" t="s">
        <v>2615</v>
      </c>
      <c r="V166" s="419"/>
      <c r="W166" s="419"/>
      <c r="X166" s="542"/>
      <c r="Y166" s="542"/>
      <c r="Z166" s="542"/>
    </row>
    <row r="167" spans="1:26" s="71" customFormat="1" ht="14.25" customHeight="1">
      <c r="A167" s="549" t="s">
        <v>2707</v>
      </c>
      <c r="B167" s="542" t="s">
        <v>475</v>
      </c>
      <c r="C167" s="542" t="s">
        <v>2625</v>
      </c>
      <c r="D167" s="472"/>
      <c r="E167" s="419"/>
      <c r="F167" s="419"/>
      <c r="J167" s="71" t="s">
        <v>2715</v>
      </c>
      <c r="K167" s="71" t="s">
        <v>2677</v>
      </c>
      <c r="L167" s="71" t="s">
        <v>2677</v>
      </c>
      <c r="P167" s="419"/>
      <c r="R167" s="548"/>
      <c r="S167" s="423"/>
      <c r="T167" s="105"/>
      <c r="U167" s="550"/>
      <c r="W167" s="542"/>
      <c r="X167" s="542"/>
      <c r="Y167" s="542"/>
      <c r="Z167" s="542"/>
    </row>
    <row r="168" spans="1:26" s="71" customFormat="1" ht="14.25" customHeight="1">
      <c r="A168" s="426" t="s">
        <v>2707</v>
      </c>
      <c r="B168" s="426" t="s">
        <v>475</v>
      </c>
      <c r="C168" s="427" t="s">
        <v>2816</v>
      </c>
      <c r="D168" s="421"/>
      <c r="E168" s="419"/>
      <c r="J168" s="71" t="s">
        <v>2715</v>
      </c>
      <c r="K168" s="71" t="s">
        <v>2677</v>
      </c>
      <c r="L168" s="71" t="s">
        <v>2677</v>
      </c>
      <c r="R168" s="430"/>
      <c r="S168" s="423"/>
      <c r="T168" s="105">
        <v>43591</v>
      </c>
      <c r="U168" s="430"/>
      <c r="W168" s="422"/>
      <c r="X168" s="542"/>
      <c r="Y168" s="542"/>
      <c r="Z168" s="542"/>
    </row>
    <row r="169" spans="1:26" s="71" customFormat="1" ht="14.25" customHeight="1">
      <c r="A169" s="552" t="s">
        <v>2707</v>
      </c>
      <c r="B169" s="552" t="s">
        <v>475</v>
      </c>
      <c r="C169" s="553" t="s">
        <v>2819</v>
      </c>
      <c r="D169" s="547"/>
      <c r="E169" s="71">
        <v>196448</v>
      </c>
      <c r="F169" s="419"/>
      <c r="J169" s="71" t="s">
        <v>2715</v>
      </c>
      <c r="K169" s="419" t="s">
        <v>2677</v>
      </c>
      <c r="L169" s="419" t="s">
        <v>2677</v>
      </c>
      <c r="N169" s="71">
        <v>20.6728000640869</v>
      </c>
      <c r="O169" s="71">
        <v>93.243469238281307</v>
      </c>
      <c r="R169" s="556"/>
      <c r="S169" s="423"/>
      <c r="T169" s="105">
        <v>43591</v>
      </c>
      <c r="U169" s="556"/>
      <c r="W169" s="548"/>
      <c r="X169" s="542"/>
      <c r="Y169" s="542"/>
      <c r="Z169" s="542"/>
    </row>
    <row r="170" spans="1:26" s="71" customFormat="1" ht="14.25" customHeight="1">
      <c r="A170" s="423" t="s">
        <v>2707</v>
      </c>
      <c r="B170" s="419" t="s">
        <v>475</v>
      </c>
      <c r="C170" s="419" t="s">
        <v>553</v>
      </c>
      <c r="D170" s="472" t="s">
        <v>1654</v>
      </c>
      <c r="E170" s="419">
        <v>196642</v>
      </c>
      <c r="I170" s="419"/>
      <c r="J170" s="71" t="s">
        <v>798</v>
      </c>
      <c r="K170" s="71" t="s">
        <v>798</v>
      </c>
      <c r="L170" s="71" t="s">
        <v>798</v>
      </c>
      <c r="M170" s="71" t="s">
        <v>298</v>
      </c>
      <c r="N170" s="71">
        <v>20.70355034</v>
      </c>
      <c r="O170" s="71">
        <v>93.060462950000002</v>
      </c>
      <c r="P170" s="71" t="s">
        <v>799</v>
      </c>
      <c r="Q170" s="71" t="s">
        <v>780</v>
      </c>
      <c r="R170" s="99"/>
      <c r="S170" s="423"/>
      <c r="T170" s="105"/>
      <c r="U170" s="101"/>
      <c r="V170" s="71" t="s">
        <v>553</v>
      </c>
      <c r="W170" s="419"/>
      <c r="X170" s="542"/>
      <c r="Y170" s="542"/>
      <c r="Z170" s="542"/>
    </row>
    <row r="171" spans="1:26" s="71" customFormat="1" ht="14.25" customHeight="1">
      <c r="A171" s="423" t="s">
        <v>2707</v>
      </c>
      <c r="B171" s="542" t="s">
        <v>475</v>
      </c>
      <c r="C171" s="542" t="s">
        <v>2622</v>
      </c>
      <c r="D171" s="472"/>
      <c r="F171" s="542"/>
      <c r="J171" s="71" t="s">
        <v>2715</v>
      </c>
      <c r="K171" s="419" t="s">
        <v>2677</v>
      </c>
      <c r="L171" s="419" t="s">
        <v>2677</v>
      </c>
      <c r="Q171" s="542"/>
      <c r="R171" s="422"/>
      <c r="S171" s="423"/>
      <c r="T171" s="568"/>
      <c r="U171" s="101"/>
      <c r="X171" s="542"/>
      <c r="Y171" s="542"/>
      <c r="Z171" s="542"/>
    </row>
    <row r="172" spans="1:26" s="71" customFormat="1" ht="14.25" customHeight="1">
      <c r="A172" s="423" t="s">
        <v>2707</v>
      </c>
      <c r="B172" s="552" t="s">
        <v>475</v>
      </c>
      <c r="C172" s="546" t="s">
        <v>909</v>
      </c>
      <c r="D172" s="472" t="s">
        <v>2787</v>
      </c>
      <c r="E172" s="71" t="s">
        <v>1382</v>
      </c>
      <c r="F172" s="546" t="s">
        <v>1856</v>
      </c>
      <c r="G172" s="71" t="s">
        <v>1856</v>
      </c>
      <c r="J172" s="71" t="s">
        <v>798</v>
      </c>
      <c r="K172" s="419" t="s">
        <v>798</v>
      </c>
      <c r="L172" s="419" t="s">
        <v>883</v>
      </c>
      <c r="M172" s="71" t="s">
        <v>795</v>
      </c>
      <c r="N172" s="71">
        <v>20.576577</v>
      </c>
      <c r="O172" s="71">
        <v>93.245551000000006</v>
      </c>
      <c r="P172" s="419" t="s">
        <v>799</v>
      </c>
      <c r="Q172" s="546"/>
      <c r="R172" s="422">
        <v>204</v>
      </c>
      <c r="S172" s="423">
        <v>1265</v>
      </c>
      <c r="T172" s="569"/>
      <c r="U172" s="101" t="s">
        <v>860</v>
      </c>
      <c r="V172" s="71" t="s">
        <v>909</v>
      </c>
      <c r="W172" s="419"/>
      <c r="X172" s="542"/>
      <c r="Y172" s="542"/>
      <c r="Z172" s="542"/>
    </row>
    <row r="173" spans="1:26" s="71" customFormat="1" ht="14.25" customHeight="1">
      <c r="A173" s="423" t="s">
        <v>2707</v>
      </c>
      <c r="B173" s="419" t="s">
        <v>475</v>
      </c>
      <c r="C173" s="419" t="s">
        <v>2624</v>
      </c>
      <c r="D173" s="472"/>
      <c r="E173" s="419"/>
      <c r="F173" s="419"/>
      <c r="G173" s="419"/>
      <c r="H173" s="419"/>
      <c r="I173" s="419"/>
      <c r="J173" s="419" t="s">
        <v>2715</v>
      </c>
      <c r="K173" s="419" t="s">
        <v>2677</v>
      </c>
      <c r="L173" s="419" t="s">
        <v>2714</v>
      </c>
      <c r="M173" s="419"/>
      <c r="N173" s="419"/>
      <c r="O173" s="419"/>
      <c r="P173" s="419"/>
      <c r="Q173" s="419"/>
      <c r="R173" s="422"/>
      <c r="S173" s="423"/>
      <c r="T173" s="442"/>
      <c r="U173" s="424" t="s">
        <v>2615</v>
      </c>
      <c r="V173" s="419"/>
      <c r="W173" s="419"/>
      <c r="X173" s="542"/>
      <c r="Y173" s="542"/>
      <c r="Z173" s="542"/>
    </row>
    <row r="174" spans="1:26" s="71" customFormat="1" ht="14.25" customHeight="1">
      <c r="A174" s="549" t="s">
        <v>2707</v>
      </c>
      <c r="B174" s="542" t="s">
        <v>475</v>
      </c>
      <c r="C174" s="542" t="s">
        <v>2620</v>
      </c>
      <c r="D174" s="472"/>
      <c r="J174" s="71" t="s">
        <v>2715</v>
      </c>
      <c r="K174" s="419" t="s">
        <v>2677</v>
      </c>
      <c r="L174" s="419" t="s">
        <v>2714</v>
      </c>
      <c r="R174" s="548"/>
      <c r="S174" s="423"/>
      <c r="T174" s="105"/>
      <c r="U174" s="550" t="s">
        <v>2615</v>
      </c>
      <c r="W174" s="542"/>
      <c r="X174" s="542"/>
      <c r="Y174" s="542"/>
      <c r="Z174" s="542"/>
    </row>
    <row r="175" spans="1:26" s="71" customFormat="1" ht="14.25" customHeight="1">
      <c r="A175" s="552" t="s">
        <v>2707</v>
      </c>
      <c r="B175" s="426" t="s">
        <v>475</v>
      </c>
      <c r="C175" s="553" t="s">
        <v>2810</v>
      </c>
      <c r="D175" s="547"/>
      <c r="E175" s="542"/>
      <c r="F175" s="542"/>
      <c r="G175" s="542"/>
      <c r="H175" s="542"/>
      <c r="I175" s="542"/>
      <c r="J175" s="71" t="s">
        <v>2715</v>
      </c>
      <c r="K175" s="419" t="s">
        <v>2677</v>
      </c>
      <c r="L175" s="419" t="s">
        <v>2677</v>
      </c>
      <c r="M175" s="542"/>
      <c r="N175" s="542"/>
      <c r="O175" s="542"/>
      <c r="Q175" s="542"/>
      <c r="R175" s="556"/>
      <c r="S175" s="549"/>
      <c r="T175" s="568">
        <v>43591</v>
      </c>
      <c r="U175" s="556"/>
      <c r="V175" s="542"/>
      <c r="W175" s="548"/>
      <c r="X175" s="542"/>
      <c r="Y175" s="542"/>
      <c r="Z175" s="542"/>
    </row>
    <row r="176" spans="1:26" s="71" customFormat="1" ht="14.25" customHeight="1">
      <c r="A176" s="423" t="s">
        <v>2707</v>
      </c>
      <c r="B176" s="552" t="s">
        <v>475</v>
      </c>
      <c r="C176" s="420" t="s">
        <v>912</v>
      </c>
      <c r="D176" s="473" t="s">
        <v>1654</v>
      </c>
      <c r="E176" s="546">
        <v>196429</v>
      </c>
      <c r="F176" s="546"/>
      <c r="G176" s="546"/>
      <c r="H176" s="546"/>
      <c r="I176" s="546"/>
      <c r="J176" s="71" t="s">
        <v>798</v>
      </c>
      <c r="K176" s="419" t="s">
        <v>798</v>
      </c>
      <c r="L176" s="419" t="s">
        <v>798</v>
      </c>
      <c r="M176" s="546" t="s">
        <v>298</v>
      </c>
      <c r="N176" s="546">
        <v>20.58151054</v>
      </c>
      <c r="O176" s="546">
        <v>93.24609375</v>
      </c>
      <c r="P176" s="71" t="s">
        <v>799</v>
      </c>
      <c r="Q176" s="546"/>
      <c r="R176" s="557"/>
      <c r="S176" s="553"/>
      <c r="T176" s="569"/>
      <c r="U176" s="554"/>
      <c r="V176" s="546" t="s">
        <v>912</v>
      </c>
      <c r="W176" s="419"/>
      <c r="X176" s="542"/>
      <c r="Y176" s="542"/>
      <c r="Z176" s="542"/>
    </row>
    <row r="177" spans="1:26" s="71" customFormat="1" ht="14.25" customHeight="1">
      <c r="A177" s="423" t="s">
        <v>2707</v>
      </c>
      <c r="B177" s="420" t="s">
        <v>475</v>
      </c>
      <c r="C177" s="420" t="s">
        <v>917</v>
      </c>
      <c r="D177" s="472" t="s">
        <v>2787</v>
      </c>
      <c r="E177" s="71" t="s">
        <v>1384</v>
      </c>
      <c r="F177" s="71" t="s">
        <v>495</v>
      </c>
      <c r="G177" s="71" t="s">
        <v>1857</v>
      </c>
      <c r="J177" s="71" t="s">
        <v>798</v>
      </c>
      <c r="K177" s="71" t="s">
        <v>798</v>
      </c>
      <c r="L177" s="71" t="s">
        <v>821</v>
      </c>
      <c r="M177" s="71" t="s">
        <v>298</v>
      </c>
      <c r="N177" s="71">
        <v>20.61692</v>
      </c>
      <c r="O177" s="71">
        <v>93.239519999999999</v>
      </c>
      <c r="P177" s="71" t="s">
        <v>799</v>
      </c>
      <c r="R177" s="422">
        <v>10</v>
      </c>
      <c r="S177" s="423">
        <v>64</v>
      </c>
      <c r="T177" s="105"/>
      <c r="U177" s="101" t="s">
        <v>860</v>
      </c>
      <c r="V177" s="71" t="s">
        <v>917</v>
      </c>
      <c r="X177" s="542"/>
      <c r="Y177" s="542"/>
      <c r="Z177" s="542"/>
    </row>
    <row r="178" spans="1:26" s="71" customFormat="1" ht="14.25" customHeight="1">
      <c r="A178" s="423" t="s">
        <v>2707</v>
      </c>
      <c r="B178" s="420" t="s">
        <v>475</v>
      </c>
      <c r="C178" s="420" t="s">
        <v>2617</v>
      </c>
      <c r="D178" s="472"/>
      <c r="E178" s="71">
        <v>196465</v>
      </c>
      <c r="J178" s="71" t="s">
        <v>2715</v>
      </c>
      <c r="K178" s="71" t="s">
        <v>2677</v>
      </c>
      <c r="L178" s="419" t="s">
        <v>2677</v>
      </c>
      <c r="N178" s="71">
        <v>20.7270202636719</v>
      </c>
      <c r="O178" s="71">
        <v>93.249069213867202</v>
      </c>
      <c r="R178" s="422"/>
      <c r="S178" s="423"/>
      <c r="T178" s="105"/>
      <c r="U178" s="101"/>
      <c r="X178" s="542"/>
      <c r="Y178" s="542"/>
      <c r="Z178" s="542"/>
    </row>
    <row r="179" spans="1:26" s="71" customFormat="1" ht="14.25" customHeight="1">
      <c r="A179" s="423" t="s">
        <v>2707</v>
      </c>
      <c r="B179" s="420" t="s">
        <v>475</v>
      </c>
      <c r="C179" s="420" t="s">
        <v>2616</v>
      </c>
      <c r="D179" s="472"/>
      <c r="F179" s="420"/>
      <c r="J179" s="71" t="s">
        <v>2715</v>
      </c>
      <c r="K179" s="419" t="s">
        <v>2677</v>
      </c>
      <c r="L179" s="419" t="s">
        <v>2714</v>
      </c>
      <c r="R179" s="99"/>
      <c r="S179" s="423"/>
      <c r="T179" s="105"/>
      <c r="U179" s="101" t="s">
        <v>2615</v>
      </c>
      <c r="X179" s="542"/>
      <c r="Y179" s="542"/>
      <c r="Z179" s="542"/>
    </row>
    <row r="180" spans="1:26" s="71" customFormat="1" ht="14.25" customHeight="1">
      <c r="A180" s="423" t="s">
        <v>2707</v>
      </c>
      <c r="B180" s="420" t="s">
        <v>475</v>
      </c>
      <c r="C180" s="420" t="s">
        <v>2623</v>
      </c>
      <c r="D180" s="472"/>
      <c r="J180" s="71" t="s">
        <v>2715</v>
      </c>
      <c r="K180" s="419" t="s">
        <v>2677</v>
      </c>
      <c r="L180" s="419" t="s">
        <v>2677</v>
      </c>
      <c r="N180" s="419"/>
      <c r="O180" s="419"/>
      <c r="P180" s="419"/>
      <c r="R180" s="99"/>
      <c r="S180" s="423"/>
      <c r="T180" s="105"/>
      <c r="U180" s="101"/>
      <c r="W180" s="419"/>
      <c r="X180" s="542"/>
      <c r="Y180" s="542"/>
      <c r="Z180" s="542"/>
    </row>
    <row r="181" spans="1:26" s="71" customFormat="1" ht="14.25" customHeight="1">
      <c r="A181" s="423" t="s">
        <v>2707</v>
      </c>
      <c r="B181" s="420" t="s">
        <v>475</v>
      </c>
      <c r="C181" s="420" t="s">
        <v>2868</v>
      </c>
      <c r="D181" s="472"/>
      <c r="E181" s="419">
        <v>196453</v>
      </c>
      <c r="F181" s="546"/>
      <c r="G181" s="419"/>
      <c r="H181" s="419"/>
      <c r="I181" s="419"/>
      <c r="J181" s="419" t="s">
        <v>2715</v>
      </c>
      <c r="K181" s="419" t="s">
        <v>2677</v>
      </c>
      <c r="L181" s="419" t="s">
        <v>2677</v>
      </c>
      <c r="M181" s="419"/>
      <c r="N181" s="419">
        <v>20.686229705810501</v>
      </c>
      <c r="O181" s="419">
        <v>93.220001220703097</v>
      </c>
      <c r="P181" s="419"/>
      <c r="Q181" s="419"/>
      <c r="R181" s="552"/>
      <c r="S181" s="553"/>
      <c r="T181" s="442"/>
      <c r="U181" s="424"/>
      <c r="V181" s="419"/>
      <c r="W181" s="419"/>
      <c r="X181" s="542"/>
      <c r="Y181" s="542"/>
      <c r="Z181" s="542"/>
    </row>
    <row r="182" spans="1:26" s="71" customFormat="1" ht="14.25" customHeight="1">
      <c r="A182" s="423" t="s">
        <v>2707</v>
      </c>
      <c r="B182" s="420" t="s">
        <v>475</v>
      </c>
      <c r="C182" s="420" t="s">
        <v>2869</v>
      </c>
      <c r="D182" s="472"/>
      <c r="E182" s="71">
        <v>196453</v>
      </c>
      <c r="J182" s="71" t="s">
        <v>2715</v>
      </c>
      <c r="K182" s="419" t="s">
        <v>2677</v>
      </c>
      <c r="L182" s="419" t="s">
        <v>2677</v>
      </c>
      <c r="N182" s="71">
        <v>20.686229705810501</v>
      </c>
      <c r="O182" s="71">
        <v>93.220001220703097</v>
      </c>
      <c r="R182" s="552"/>
      <c r="S182" s="553"/>
      <c r="T182" s="105"/>
      <c r="U182" s="101"/>
      <c r="X182" s="542"/>
      <c r="Y182" s="542"/>
      <c r="Z182" s="542"/>
    </row>
    <row r="183" spans="1:26" s="71" customFormat="1" ht="14.25" customHeight="1">
      <c r="A183" s="549" t="s">
        <v>2707</v>
      </c>
      <c r="B183" s="546" t="s">
        <v>475</v>
      </c>
      <c r="C183" s="546" t="s">
        <v>2627</v>
      </c>
      <c r="D183" s="472"/>
      <c r="E183" s="71">
        <v>196464</v>
      </c>
      <c r="J183" s="71" t="s">
        <v>2715</v>
      </c>
      <c r="K183" s="419" t="s">
        <v>2677</v>
      </c>
      <c r="L183" s="419" t="s">
        <v>2677</v>
      </c>
      <c r="N183" s="71">
        <v>20.7529296875</v>
      </c>
      <c r="O183" s="71">
        <v>93.267311096191406</v>
      </c>
      <c r="R183" s="548"/>
      <c r="S183" s="423"/>
      <c r="T183" s="105"/>
      <c r="U183" s="550"/>
      <c r="W183" s="542"/>
      <c r="X183" s="542"/>
      <c r="Y183" s="542"/>
      <c r="Z183" s="542"/>
    </row>
    <row r="184" spans="1:26" s="71" customFormat="1" ht="14.25" customHeight="1">
      <c r="A184" s="549" t="s">
        <v>2707</v>
      </c>
      <c r="B184" s="546" t="s">
        <v>475</v>
      </c>
      <c r="C184" s="546" t="s">
        <v>2628</v>
      </c>
      <c r="D184" s="472"/>
      <c r="J184" s="71" t="s">
        <v>2715</v>
      </c>
      <c r="K184" s="71" t="s">
        <v>2677</v>
      </c>
      <c r="L184" s="71" t="s">
        <v>2677</v>
      </c>
      <c r="P184" s="419"/>
      <c r="R184" s="548"/>
      <c r="S184" s="423"/>
      <c r="T184" s="105"/>
      <c r="U184" s="550"/>
      <c r="W184" s="542"/>
      <c r="X184" s="542"/>
      <c r="Y184" s="542"/>
      <c r="Z184" s="542"/>
    </row>
    <row r="185" spans="1:26" s="71" customFormat="1" ht="14.25" customHeight="1">
      <c r="A185" s="552" t="s">
        <v>2707</v>
      </c>
      <c r="B185" s="552" t="s">
        <v>475</v>
      </c>
      <c r="C185" s="553" t="s">
        <v>2809</v>
      </c>
      <c r="D185" s="547"/>
      <c r="E185" s="71">
        <v>196645</v>
      </c>
      <c r="J185" s="71" t="s">
        <v>2715</v>
      </c>
      <c r="K185" s="71" t="s">
        <v>2677</v>
      </c>
      <c r="L185" s="419" t="s">
        <v>2677</v>
      </c>
      <c r="N185" s="71">
        <v>20.718429565429702</v>
      </c>
      <c r="O185" s="71">
        <v>93.059432983398395</v>
      </c>
      <c r="R185" s="556"/>
      <c r="S185" s="423"/>
      <c r="T185" s="105">
        <v>43591</v>
      </c>
      <c r="U185" s="556"/>
      <c r="W185" s="548"/>
      <c r="X185" s="542"/>
      <c r="Y185" s="542"/>
      <c r="Z185" s="542"/>
    </row>
    <row r="186" spans="1:26" s="71" customFormat="1" ht="14.25" customHeight="1">
      <c r="A186" s="426" t="s">
        <v>2707</v>
      </c>
      <c r="B186" s="426" t="s">
        <v>475</v>
      </c>
      <c r="C186" s="427" t="s">
        <v>2817</v>
      </c>
      <c r="D186" s="421"/>
      <c r="J186" s="71" t="s">
        <v>2715</v>
      </c>
      <c r="K186" s="71" t="s">
        <v>2677</v>
      </c>
      <c r="L186" s="419" t="s">
        <v>2677</v>
      </c>
      <c r="R186" s="430"/>
      <c r="S186" s="423"/>
      <c r="T186" s="105">
        <v>43591</v>
      </c>
      <c r="U186" s="430"/>
      <c r="W186" s="422"/>
      <c r="X186" s="542"/>
      <c r="Y186" s="542"/>
      <c r="Z186" s="542"/>
    </row>
    <row r="187" spans="1:26" s="71" customFormat="1" ht="14.25" customHeight="1">
      <c r="A187" s="549" t="s">
        <v>2707</v>
      </c>
      <c r="B187" s="546" t="s">
        <v>475</v>
      </c>
      <c r="C187" s="546" t="s">
        <v>902</v>
      </c>
      <c r="D187" s="472" t="s">
        <v>2787</v>
      </c>
      <c r="E187" s="71" t="s">
        <v>1379</v>
      </c>
      <c r="F187" s="71" t="s">
        <v>1854</v>
      </c>
      <c r="G187" s="71" t="s">
        <v>902</v>
      </c>
      <c r="J187" s="71" t="s">
        <v>798</v>
      </c>
      <c r="K187" s="71" t="s">
        <v>798</v>
      </c>
      <c r="L187" s="419" t="s">
        <v>821</v>
      </c>
      <c r="M187" s="71" t="s">
        <v>298</v>
      </c>
      <c r="N187" s="71">
        <v>20.495086000000001</v>
      </c>
      <c r="O187" s="71">
        <v>93.246863000000005</v>
      </c>
      <c r="P187" s="71" t="s">
        <v>799</v>
      </c>
      <c r="R187" s="548">
        <v>32</v>
      </c>
      <c r="S187" s="423">
        <v>131</v>
      </c>
      <c r="T187" s="105"/>
      <c r="U187" s="550" t="s">
        <v>860</v>
      </c>
      <c r="V187" s="71" t="s">
        <v>903</v>
      </c>
      <c r="W187" s="542"/>
      <c r="X187" s="542"/>
      <c r="Y187" s="542"/>
      <c r="Z187" s="542"/>
    </row>
    <row r="188" spans="1:26" s="71" customFormat="1" ht="14.25" customHeight="1">
      <c r="A188" s="426" t="s">
        <v>2707</v>
      </c>
      <c r="B188" s="426" t="s">
        <v>475</v>
      </c>
      <c r="C188" s="427" t="s">
        <v>2807</v>
      </c>
      <c r="D188" s="421"/>
      <c r="E188" s="419">
        <v>196626</v>
      </c>
      <c r="F188" s="419"/>
      <c r="J188" s="71" t="s">
        <v>2715</v>
      </c>
      <c r="K188" s="419" t="s">
        <v>2677</v>
      </c>
      <c r="L188" s="419" t="s">
        <v>2677</v>
      </c>
      <c r="N188" s="71">
        <v>20.648319244384801</v>
      </c>
      <c r="O188" s="71">
        <v>93.085273742675795</v>
      </c>
      <c r="R188" s="430"/>
      <c r="S188" s="423"/>
      <c r="T188" s="105">
        <v>43591</v>
      </c>
      <c r="U188" s="430"/>
      <c r="W188" s="422"/>
      <c r="X188" s="542"/>
      <c r="Y188" s="542"/>
      <c r="Z188" s="542"/>
    </row>
    <row r="189" spans="1:26" s="71" customFormat="1" ht="14.25" customHeight="1">
      <c r="A189" s="552" t="s">
        <v>2707</v>
      </c>
      <c r="B189" s="552" t="s">
        <v>475</v>
      </c>
      <c r="C189" s="553" t="s">
        <v>2804</v>
      </c>
      <c r="D189" s="547"/>
      <c r="F189" s="419"/>
      <c r="J189" s="71" t="s">
        <v>2715</v>
      </c>
      <c r="K189" s="419" t="s">
        <v>2677</v>
      </c>
      <c r="L189" s="419" t="s">
        <v>2677</v>
      </c>
      <c r="R189" s="556"/>
      <c r="S189" s="423"/>
      <c r="T189" s="105">
        <v>43591</v>
      </c>
      <c r="U189" s="556"/>
      <c r="W189" s="548"/>
      <c r="X189" s="542"/>
      <c r="Y189" s="542"/>
      <c r="Z189" s="542"/>
    </row>
    <row r="190" spans="1:26" s="71" customFormat="1" ht="14.25" customHeight="1">
      <c r="A190" s="426" t="s">
        <v>2707</v>
      </c>
      <c r="B190" s="426" t="s">
        <v>475</v>
      </c>
      <c r="C190" s="427" t="s">
        <v>2806</v>
      </c>
      <c r="D190" s="421"/>
      <c r="E190" s="71">
        <v>196621</v>
      </c>
      <c r="J190" s="71" t="s">
        <v>2715</v>
      </c>
      <c r="K190" s="419" t="s">
        <v>2677</v>
      </c>
      <c r="L190" s="419" t="s">
        <v>2677</v>
      </c>
      <c r="N190" s="71">
        <v>20.675979614257798</v>
      </c>
      <c r="O190" s="419">
        <v>93.098922729492202</v>
      </c>
      <c r="R190" s="430"/>
      <c r="S190" s="423"/>
      <c r="T190" s="105">
        <v>43591</v>
      </c>
      <c r="U190" s="430"/>
      <c r="W190" s="422"/>
      <c r="X190" s="542"/>
      <c r="Y190" s="542"/>
      <c r="Z190" s="542"/>
    </row>
    <row r="191" spans="1:26" s="71" customFormat="1" ht="14.25" customHeight="1">
      <c r="A191" s="549" t="s">
        <v>2707</v>
      </c>
      <c r="B191" s="546" t="s">
        <v>475</v>
      </c>
      <c r="C191" s="546" t="s">
        <v>2621</v>
      </c>
      <c r="D191" s="472"/>
      <c r="E191" s="419"/>
      <c r="F191" s="419"/>
      <c r="J191" s="71" t="s">
        <v>2715</v>
      </c>
      <c r="K191" s="419" t="s">
        <v>2677</v>
      </c>
      <c r="L191" s="419" t="s">
        <v>2677</v>
      </c>
      <c r="R191" s="548"/>
      <c r="S191" s="423"/>
      <c r="T191" s="105"/>
      <c r="U191" s="550"/>
      <c r="W191" s="542"/>
      <c r="X191" s="542"/>
      <c r="Y191" s="542"/>
      <c r="Z191" s="542"/>
    </row>
    <row r="192" spans="1:26" s="71" customFormat="1" ht="14.25" customHeight="1">
      <c r="A192" s="552" t="s">
        <v>2707</v>
      </c>
      <c r="B192" s="552" t="s">
        <v>475</v>
      </c>
      <c r="C192" s="553" t="s">
        <v>2803</v>
      </c>
      <c r="D192" s="547"/>
      <c r="E192" s="419"/>
      <c r="F192" s="419"/>
      <c r="G192" s="419"/>
      <c r="H192" s="419"/>
      <c r="I192" s="419"/>
      <c r="J192" s="71" t="s">
        <v>2715</v>
      </c>
      <c r="K192" s="419" t="s">
        <v>2677</v>
      </c>
      <c r="L192" s="419" t="s">
        <v>2677</v>
      </c>
      <c r="N192" s="419"/>
      <c r="O192" s="419"/>
      <c r="P192" s="419"/>
      <c r="R192" s="556"/>
      <c r="S192" s="423"/>
      <c r="T192" s="105">
        <v>43591</v>
      </c>
      <c r="U192" s="556"/>
      <c r="V192" s="419"/>
      <c r="W192" s="548"/>
      <c r="X192" s="542"/>
      <c r="Y192" s="542"/>
      <c r="Z192" s="542"/>
    </row>
    <row r="193" spans="1:26" s="71" customFormat="1" ht="14.25" customHeight="1">
      <c r="A193" s="426" t="s">
        <v>2707</v>
      </c>
      <c r="B193" s="426" t="s">
        <v>475</v>
      </c>
      <c r="C193" s="427" t="s">
        <v>2808</v>
      </c>
      <c r="D193" s="421"/>
      <c r="E193" s="71">
        <v>196636</v>
      </c>
      <c r="J193" s="71" t="s">
        <v>2715</v>
      </c>
      <c r="K193" s="419" t="s">
        <v>2677</v>
      </c>
      <c r="L193" s="419" t="s">
        <v>2677</v>
      </c>
      <c r="N193" s="71">
        <v>20.6698608398438</v>
      </c>
      <c r="O193" s="419">
        <v>93.087516784667997</v>
      </c>
      <c r="P193" s="419"/>
      <c r="R193" s="430"/>
      <c r="S193" s="423"/>
      <c r="T193" s="105">
        <v>43591</v>
      </c>
      <c r="U193" s="430"/>
      <c r="W193" s="422"/>
      <c r="X193" s="542"/>
      <c r="Y193" s="542"/>
      <c r="Z193" s="542"/>
    </row>
    <row r="194" spans="1:26" s="71" customFormat="1" ht="14.25" customHeight="1">
      <c r="A194" s="423" t="s">
        <v>2707</v>
      </c>
      <c r="B194" s="420" t="s">
        <v>475</v>
      </c>
      <c r="C194" s="420" t="s">
        <v>904</v>
      </c>
      <c r="D194" s="472" t="s">
        <v>2787</v>
      </c>
      <c r="E194" s="71" t="s">
        <v>1380</v>
      </c>
      <c r="F194" s="542" t="s">
        <v>1855</v>
      </c>
      <c r="G194" s="71" t="s">
        <v>1855</v>
      </c>
      <c r="J194" s="71" t="s">
        <v>798</v>
      </c>
      <c r="K194" s="419" t="s">
        <v>798</v>
      </c>
      <c r="L194" s="419" t="s">
        <v>883</v>
      </c>
      <c r="M194" s="71" t="s">
        <v>795</v>
      </c>
      <c r="N194" s="71">
        <v>20.501757999999999</v>
      </c>
      <c r="O194" s="71">
        <v>93.217039999999997</v>
      </c>
      <c r="P194" s="71" t="s">
        <v>799</v>
      </c>
      <c r="R194" s="548">
        <v>365</v>
      </c>
      <c r="S194" s="549">
        <v>2366</v>
      </c>
      <c r="T194" s="105"/>
      <c r="U194" s="101" t="s">
        <v>860</v>
      </c>
      <c r="V194" s="71" t="s">
        <v>905</v>
      </c>
      <c r="W194" s="546"/>
      <c r="X194" s="542"/>
      <c r="Y194" s="542"/>
      <c r="Z194" s="542"/>
    </row>
    <row r="195" spans="1:26" s="71" customFormat="1" ht="14.25" customHeight="1">
      <c r="A195" s="552" t="s">
        <v>2707</v>
      </c>
      <c r="B195" s="552" t="s">
        <v>475</v>
      </c>
      <c r="C195" s="553" t="s">
        <v>2805</v>
      </c>
      <c r="D195" s="547"/>
      <c r="E195" s="419">
        <v>196622</v>
      </c>
      <c r="J195" s="71" t="s">
        <v>2715</v>
      </c>
      <c r="K195" s="71" t="s">
        <v>2677</v>
      </c>
      <c r="L195" s="419" t="s">
        <v>2677</v>
      </c>
      <c r="N195" s="419">
        <v>20.666166305541999</v>
      </c>
      <c r="O195" s="419">
        <v>93.094825744628906</v>
      </c>
      <c r="R195" s="556"/>
      <c r="S195" s="549"/>
      <c r="T195" s="105">
        <v>43591</v>
      </c>
      <c r="U195" s="556"/>
      <c r="W195" s="548"/>
      <c r="X195" s="542"/>
      <c r="Y195" s="542"/>
      <c r="Z195" s="542"/>
    </row>
    <row r="196" spans="1:26" s="71" customFormat="1" ht="14.25" customHeight="1">
      <c r="A196" s="423" t="s">
        <v>2707</v>
      </c>
      <c r="B196" s="420" t="s">
        <v>403</v>
      </c>
      <c r="C196" s="420" t="s">
        <v>816</v>
      </c>
      <c r="D196" s="472" t="s">
        <v>1654</v>
      </c>
      <c r="E196" s="71">
        <v>197254</v>
      </c>
      <c r="F196" s="419"/>
      <c r="I196" s="419"/>
      <c r="J196" s="71" t="s">
        <v>798</v>
      </c>
      <c r="K196" s="419" t="s">
        <v>798</v>
      </c>
      <c r="L196" s="419" t="s">
        <v>798</v>
      </c>
      <c r="M196" s="71" t="s">
        <v>298</v>
      </c>
      <c r="N196" s="71">
        <v>20.021469119999999</v>
      </c>
      <c r="O196" s="71">
        <v>93.367980959999997</v>
      </c>
      <c r="P196" s="419" t="s">
        <v>799</v>
      </c>
      <c r="R196" s="426"/>
      <c r="S196" s="427"/>
      <c r="T196" s="105"/>
      <c r="U196" s="101"/>
      <c r="V196" s="71" t="s">
        <v>816</v>
      </c>
      <c r="X196" s="542"/>
      <c r="Y196" s="542"/>
      <c r="Z196" s="542"/>
    </row>
    <row r="197" spans="1:26" s="71" customFormat="1" ht="14.25" customHeight="1">
      <c r="A197" s="423" t="s">
        <v>2707</v>
      </c>
      <c r="B197" s="420" t="s">
        <v>403</v>
      </c>
      <c r="C197" s="420" t="s">
        <v>817</v>
      </c>
      <c r="D197" s="472" t="s">
        <v>1654</v>
      </c>
      <c r="E197" s="419">
        <v>197253</v>
      </c>
      <c r="F197" s="420"/>
      <c r="G197" s="419"/>
      <c r="H197" s="419"/>
      <c r="I197" s="419"/>
      <c r="J197" s="71" t="s">
        <v>798</v>
      </c>
      <c r="K197" s="419" t="s">
        <v>798</v>
      </c>
      <c r="L197" s="419" t="s">
        <v>798</v>
      </c>
      <c r="M197" s="71" t="s">
        <v>298</v>
      </c>
      <c r="N197" s="71">
        <v>20.023879999999998</v>
      </c>
      <c r="O197" s="71">
        <v>93.376663210000004</v>
      </c>
      <c r="P197" s="71" t="s">
        <v>799</v>
      </c>
      <c r="R197" s="426"/>
      <c r="S197" s="427"/>
      <c r="T197" s="105"/>
      <c r="U197" s="101"/>
      <c r="V197" s="71" t="s">
        <v>817</v>
      </c>
      <c r="X197" s="542"/>
      <c r="Y197" s="542"/>
      <c r="Z197" s="542"/>
    </row>
    <row r="198" spans="1:26" s="71" customFormat="1" ht="14.25" customHeight="1">
      <c r="A198" s="423" t="s">
        <v>2707</v>
      </c>
      <c r="B198" s="420" t="s">
        <v>403</v>
      </c>
      <c r="C198" s="420" t="s">
        <v>819</v>
      </c>
      <c r="D198" s="472" t="s">
        <v>1654</v>
      </c>
      <c r="E198" s="71">
        <v>217974</v>
      </c>
      <c r="F198" s="420"/>
      <c r="J198" s="71" t="s">
        <v>798</v>
      </c>
      <c r="K198" s="419" t="s">
        <v>798</v>
      </c>
      <c r="L198" s="419" t="s">
        <v>798</v>
      </c>
      <c r="M198" s="71" t="s">
        <v>298</v>
      </c>
      <c r="N198" s="71">
        <v>20.032299999999999</v>
      </c>
      <c r="O198" s="71">
        <v>93.375100000000003</v>
      </c>
      <c r="P198" s="71" t="s">
        <v>799</v>
      </c>
      <c r="R198" s="426"/>
      <c r="S198" s="427"/>
      <c r="T198" s="105"/>
      <c r="U198" s="101"/>
      <c r="V198" s="71" t="s">
        <v>819</v>
      </c>
      <c r="W198" s="419"/>
      <c r="X198" s="542"/>
      <c r="Y198" s="542"/>
      <c r="Z198" s="542"/>
    </row>
    <row r="199" spans="1:26" s="71" customFormat="1" ht="14.25" customHeight="1">
      <c r="A199" s="423" t="s">
        <v>2707</v>
      </c>
      <c r="B199" s="420" t="s">
        <v>403</v>
      </c>
      <c r="C199" s="420" t="s">
        <v>834</v>
      </c>
      <c r="D199" s="472" t="s">
        <v>1654</v>
      </c>
      <c r="E199" s="419">
        <v>197279</v>
      </c>
      <c r="F199" s="419"/>
      <c r="G199" s="419"/>
      <c r="H199" s="419"/>
      <c r="I199" s="419"/>
      <c r="J199" s="71" t="s">
        <v>798</v>
      </c>
      <c r="K199" s="419" t="s">
        <v>798</v>
      </c>
      <c r="L199" s="419" t="s">
        <v>798</v>
      </c>
      <c r="M199" s="419" t="s">
        <v>298</v>
      </c>
      <c r="N199" s="419">
        <v>20.100000000000001</v>
      </c>
      <c r="O199" s="419">
        <v>93.35</v>
      </c>
      <c r="P199" s="71" t="s">
        <v>799</v>
      </c>
      <c r="Q199" s="419"/>
      <c r="R199" s="426"/>
      <c r="S199" s="427"/>
      <c r="T199" s="442"/>
      <c r="U199" s="424"/>
      <c r="V199" s="419" t="s">
        <v>834</v>
      </c>
      <c r="X199" s="542"/>
      <c r="Y199" s="542"/>
      <c r="Z199" s="542"/>
    </row>
    <row r="200" spans="1:26" s="71" customFormat="1" ht="14.25" customHeight="1">
      <c r="A200" s="423" t="s">
        <v>2707</v>
      </c>
      <c r="B200" s="420" t="s">
        <v>403</v>
      </c>
      <c r="C200" s="420" t="s">
        <v>832</v>
      </c>
      <c r="D200" s="472" t="s">
        <v>1654</v>
      </c>
      <c r="E200" s="419">
        <v>197277</v>
      </c>
      <c r="F200" s="419"/>
      <c r="G200" s="419"/>
      <c r="H200" s="419"/>
      <c r="I200" s="419"/>
      <c r="J200" s="71" t="s">
        <v>798</v>
      </c>
      <c r="K200" s="419" t="s">
        <v>798</v>
      </c>
      <c r="L200" s="419" t="s">
        <v>798</v>
      </c>
      <c r="M200" s="71" t="s">
        <v>298</v>
      </c>
      <c r="N200" s="71">
        <v>20.079999999999998</v>
      </c>
      <c r="O200" s="419">
        <v>93.36</v>
      </c>
      <c r="P200" s="71" t="s">
        <v>799</v>
      </c>
      <c r="R200" s="426"/>
      <c r="S200" s="427"/>
      <c r="T200" s="105"/>
      <c r="U200" s="101"/>
      <c r="V200" s="71" t="s">
        <v>832</v>
      </c>
      <c r="W200" s="419"/>
      <c r="X200" s="542"/>
      <c r="Y200" s="542"/>
      <c r="Z200" s="542"/>
    </row>
    <row r="201" spans="1:26" s="71" customFormat="1" ht="14.25" customHeight="1">
      <c r="A201" s="100" t="s">
        <v>2707</v>
      </c>
      <c r="B201" s="420" t="s">
        <v>403</v>
      </c>
      <c r="C201" s="420" t="s">
        <v>405</v>
      </c>
      <c r="D201" s="472" t="s">
        <v>2787</v>
      </c>
      <c r="E201" s="71" t="s">
        <v>1339</v>
      </c>
      <c r="F201" s="71" t="s">
        <v>1684</v>
      </c>
      <c r="G201" s="71" t="s">
        <v>1736</v>
      </c>
      <c r="J201" s="71" t="s">
        <v>798</v>
      </c>
      <c r="K201" s="419" t="s">
        <v>798</v>
      </c>
      <c r="L201" s="419" t="s">
        <v>821</v>
      </c>
      <c r="M201" s="71" t="s">
        <v>298</v>
      </c>
      <c r="N201" s="71">
        <v>20.041981</v>
      </c>
      <c r="O201" s="419">
        <v>93.373951000000005</v>
      </c>
      <c r="P201" s="71" t="s">
        <v>799</v>
      </c>
      <c r="Q201" s="71" t="s">
        <v>780</v>
      </c>
      <c r="R201" s="422">
        <v>40</v>
      </c>
      <c r="S201" s="423">
        <v>204</v>
      </c>
      <c r="T201" s="105"/>
      <c r="U201" s="101"/>
      <c r="V201" s="71" t="s">
        <v>405</v>
      </c>
      <c r="W201" s="419"/>
      <c r="X201" s="542"/>
      <c r="Y201" s="542"/>
      <c r="Z201" s="542"/>
    </row>
    <row r="202" spans="1:26" s="71" customFormat="1" ht="14.25" customHeight="1">
      <c r="A202" s="100" t="s">
        <v>2707</v>
      </c>
      <c r="B202" s="420" t="s">
        <v>403</v>
      </c>
      <c r="C202" s="420" t="s">
        <v>848</v>
      </c>
      <c r="D202" s="472" t="s">
        <v>1654</v>
      </c>
      <c r="E202" s="419">
        <v>197286</v>
      </c>
      <c r="F202" s="419"/>
      <c r="G202" s="419"/>
      <c r="H202" s="419"/>
      <c r="I202" s="419"/>
      <c r="J202" s="419" t="s">
        <v>798</v>
      </c>
      <c r="K202" s="419" t="s">
        <v>798</v>
      </c>
      <c r="L202" s="419" t="s">
        <v>798</v>
      </c>
      <c r="M202" s="419" t="s">
        <v>298</v>
      </c>
      <c r="N202" s="419">
        <v>20.149999999999999</v>
      </c>
      <c r="O202" s="419">
        <v>93.41</v>
      </c>
      <c r="P202" s="419" t="s">
        <v>799</v>
      </c>
      <c r="Q202" s="419"/>
      <c r="R202" s="426"/>
      <c r="S202" s="427"/>
      <c r="T202" s="442"/>
      <c r="U202" s="424"/>
      <c r="V202" s="419" t="s">
        <v>848</v>
      </c>
      <c r="W202" s="419"/>
      <c r="X202" s="542"/>
      <c r="Y202" s="542"/>
      <c r="Z202" s="542"/>
    </row>
    <row r="203" spans="1:26" s="71" customFormat="1" ht="14.25" customHeight="1">
      <c r="A203" s="423" t="s">
        <v>2707</v>
      </c>
      <c r="B203" s="420" t="s">
        <v>403</v>
      </c>
      <c r="C203" s="420" t="s">
        <v>815</v>
      </c>
      <c r="D203" s="472" t="s">
        <v>1654</v>
      </c>
      <c r="E203" s="71">
        <v>197309</v>
      </c>
      <c r="J203" s="71" t="s">
        <v>798</v>
      </c>
      <c r="K203" s="419" t="s">
        <v>798</v>
      </c>
      <c r="L203" s="419" t="s">
        <v>798</v>
      </c>
      <c r="M203" s="71" t="s">
        <v>298</v>
      </c>
      <c r="N203" s="71">
        <v>20.010000000000002</v>
      </c>
      <c r="O203" s="419">
        <v>93.42</v>
      </c>
      <c r="P203" s="71" t="s">
        <v>799</v>
      </c>
      <c r="R203" s="426"/>
      <c r="S203" s="427"/>
      <c r="T203" s="105"/>
      <c r="U203" s="101"/>
      <c r="V203" s="71" t="s">
        <v>815</v>
      </c>
      <c r="X203" s="542"/>
      <c r="Y203" s="542"/>
      <c r="Z203" s="542"/>
    </row>
    <row r="204" spans="1:26" s="71" customFormat="1" ht="14.25" customHeight="1">
      <c r="A204" s="423" t="s">
        <v>2707</v>
      </c>
      <c r="B204" s="420" t="s">
        <v>403</v>
      </c>
      <c r="C204" s="420" t="s">
        <v>818</v>
      </c>
      <c r="D204" s="472" t="s">
        <v>1654</v>
      </c>
      <c r="E204" s="71">
        <v>197255</v>
      </c>
      <c r="J204" s="71" t="s">
        <v>798</v>
      </c>
      <c r="K204" s="419" t="s">
        <v>798</v>
      </c>
      <c r="L204" s="419" t="s">
        <v>798</v>
      </c>
      <c r="M204" s="71" t="s">
        <v>298</v>
      </c>
      <c r="N204" s="71">
        <v>20.03</v>
      </c>
      <c r="O204" s="419">
        <v>93.38</v>
      </c>
      <c r="P204" s="71" t="s">
        <v>799</v>
      </c>
      <c r="R204" s="426"/>
      <c r="S204" s="427"/>
      <c r="T204" s="105"/>
      <c r="U204" s="101"/>
      <c r="V204" s="71" t="s">
        <v>818</v>
      </c>
      <c r="W204" s="419"/>
      <c r="X204" s="542"/>
      <c r="Y204" s="542"/>
      <c r="Z204" s="542"/>
    </row>
    <row r="205" spans="1:26" s="71" customFormat="1" ht="14.25" customHeight="1">
      <c r="A205" s="423" t="s">
        <v>2707</v>
      </c>
      <c r="B205" s="420" t="s">
        <v>403</v>
      </c>
      <c r="C205" s="420" t="s">
        <v>820</v>
      </c>
      <c r="D205" s="472" t="s">
        <v>1654</v>
      </c>
      <c r="E205" s="71">
        <v>217973</v>
      </c>
      <c r="F205" s="419"/>
      <c r="J205" s="71" t="s">
        <v>798</v>
      </c>
      <c r="K205" s="419" t="s">
        <v>798</v>
      </c>
      <c r="L205" s="419" t="s">
        <v>798</v>
      </c>
      <c r="M205" s="71" t="s">
        <v>298</v>
      </c>
      <c r="N205" s="71">
        <v>20.032760620000001</v>
      </c>
      <c r="O205" s="71">
        <v>93.372978209999999</v>
      </c>
      <c r="P205" s="71" t="s">
        <v>799</v>
      </c>
      <c r="R205" s="426"/>
      <c r="S205" s="427"/>
      <c r="T205" s="105"/>
      <c r="U205" s="101"/>
      <c r="V205" s="71" t="s">
        <v>820</v>
      </c>
      <c r="W205" s="419"/>
      <c r="X205" s="542"/>
      <c r="Y205" s="542"/>
      <c r="Z205" s="542"/>
    </row>
    <row r="206" spans="1:26" s="71" customFormat="1" ht="14.25" customHeight="1">
      <c r="A206" s="423" t="s">
        <v>2707</v>
      </c>
      <c r="B206" s="420" t="s">
        <v>403</v>
      </c>
      <c r="C206" s="420" t="s">
        <v>404</v>
      </c>
      <c r="D206" s="472" t="s">
        <v>2787</v>
      </c>
      <c r="E206" s="71" t="s">
        <v>1338</v>
      </c>
      <c r="H206" s="71" t="s">
        <v>42</v>
      </c>
      <c r="J206" s="71" t="s">
        <v>44</v>
      </c>
      <c r="K206" s="71" t="s">
        <v>44</v>
      </c>
      <c r="L206" s="419" t="s">
        <v>794</v>
      </c>
      <c r="M206" s="71" t="s">
        <v>795</v>
      </c>
      <c r="N206" s="71">
        <v>20.037655000000001</v>
      </c>
      <c r="O206" s="419">
        <v>93.370037999999994</v>
      </c>
      <c r="P206" s="71" t="s">
        <v>761</v>
      </c>
      <c r="Q206" s="71" t="s">
        <v>780</v>
      </c>
      <c r="R206" s="422">
        <v>655</v>
      </c>
      <c r="S206" s="423">
        <v>2690</v>
      </c>
      <c r="T206" s="105"/>
      <c r="U206" s="101"/>
      <c r="V206" s="71" t="s">
        <v>404</v>
      </c>
      <c r="X206" s="542">
        <v>54</v>
      </c>
      <c r="Y206" s="542">
        <v>319</v>
      </c>
      <c r="Z206" s="542">
        <v>373</v>
      </c>
    </row>
    <row r="207" spans="1:26" s="71" customFormat="1" ht="14.25" customHeight="1">
      <c r="A207" s="423" t="s">
        <v>2707</v>
      </c>
      <c r="B207" s="420" t="s">
        <v>403</v>
      </c>
      <c r="C207" s="420" t="s">
        <v>825</v>
      </c>
      <c r="D207" s="472" t="s">
        <v>1654</v>
      </c>
      <c r="E207" s="71">
        <v>197378</v>
      </c>
      <c r="F207" s="420"/>
      <c r="J207" s="71" t="s">
        <v>798</v>
      </c>
      <c r="K207" s="419" t="s">
        <v>798</v>
      </c>
      <c r="L207" s="419" t="s">
        <v>798</v>
      </c>
      <c r="M207" s="71" t="s">
        <v>298</v>
      </c>
      <c r="N207" s="71">
        <v>20.061309810000001</v>
      </c>
      <c r="O207" s="71">
        <v>93.540641780000001</v>
      </c>
      <c r="P207" s="71" t="s">
        <v>799</v>
      </c>
      <c r="R207" s="426"/>
      <c r="S207" s="427"/>
      <c r="T207" s="105"/>
      <c r="U207" s="101"/>
      <c r="V207" s="71" t="s">
        <v>825</v>
      </c>
      <c r="X207" s="542"/>
      <c r="Y207" s="542"/>
      <c r="Z207" s="542"/>
    </row>
    <row r="208" spans="1:26" s="71" customFormat="1" ht="14.25" customHeight="1">
      <c r="A208" s="423" t="s">
        <v>2707</v>
      </c>
      <c r="B208" s="420" t="s">
        <v>403</v>
      </c>
      <c r="C208" s="420" t="s">
        <v>838</v>
      </c>
      <c r="D208" s="472" t="s">
        <v>1654</v>
      </c>
      <c r="E208" s="71">
        <v>197280</v>
      </c>
      <c r="F208" s="419"/>
      <c r="J208" s="71" t="s">
        <v>798</v>
      </c>
      <c r="K208" s="419" t="s">
        <v>798</v>
      </c>
      <c r="L208" s="419" t="s">
        <v>798</v>
      </c>
      <c r="M208" s="71" t="s">
        <v>298</v>
      </c>
      <c r="N208" s="71">
        <v>20.12</v>
      </c>
      <c r="O208" s="71">
        <v>93.34</v>
      </c>
      <c r="P208" s="71" t="s">
        <v>799</v>
      </c>
      <c r="R208" s="426"/>
      <c r="S208" s="427"/>
      <c r="T208" s="105"/>
      <c r="U208" s="101"/>
      <c r="V208" s="71" t="s">
        <v>838</v>
      </c>
      <c r="W208" s="419"/>
      <c r="X208" s="542"/>
      <c r="Y208" s="542"/>
      <c r="Z208" s="542"/>
    </row>
    <row r="209" spans="1:26" s="71" customFormat="1" ht="14.25" customHeight="1">
      <c r="A209" s="423" t="s">
        <v>2707</v>
      </c>
      <c r="B209" s="420" t="s">
        <v>403</v>
      </c>
      <c r="C209" s="420" t="s">
        <v>833</v>
      </c>
      <c r="D209" s="472" t="s">
        <v>1654</v>
      </c>
      <c r="E209" s="71">
        <v>197366</v>
      </c>
      <c r="F209" s="420"/>
      <c r="J209" s="71" t="s">
        <v>798</v>
      </c>
      <c r="K209" s="71" t="s">
        <v>798</v>
      </c>
      <c r="L209" s="71" t="s">
        <v>798</v>
      </c>
      <c r="M209" s="71" t="s">
        <v>298</v>
      </c>
      <c r="N209" s="71">
        <v>20.084</v>
      </c>
      <c r="O209" s="419">
        <v>93.483999999999995</v>
      </c>
      <c r="P209" s="419" t="s">
        <v>799</v>
      </c>
      <c r="R209" s="426"/>
      <c r="S209" s="427"/>
      <c r="T209" s="105"/>
      <c r="U209" s="101"/>
      <c r="V209" s="71" t="s">
        <v>833</v>
      </c>
      <c r="W209" s="419"/>
      <c r="X209" s="542"/>
      <c r="Y209" s="542"/>
      <c r="Z209" s="542"/>
    </row>
    <row r="210" spans="1:26" s="71" customFormat="1" ht="14.25" customHeight="1">
      <c r="A210" s="423" t="s">
        <v>2707</v>
      </c>
      <c r="B210" s="420" t="s">
        <v>406</v>
      </c>
      <c r="C210" s="420" t="s">
        <v>2873</v>
      </c>
      <c r="D210" s="472"/>
      <c r="E210" s="420">
        <v>196310</v>
      </c>
      <c r="J210" s="71" t="s">
        <v>2715</v>
      </c>
      <c r="K210" s="71" t="s">
        <v>2677</v>
      </c>
      <c r="L210" s="419" t="s">
        <v>2677</v>
      </c>
      <c r="M210" s="71" t="s">
        <v>2679</v>
      </c>
      <c r="N210" s="71">
        <v>20.61741065979</v>
      </c>
      <c r="O210" s="71">
        <v>92.932502746582003</v>
      </c>
      <c r="R210" s="422"/>
      <c r="S210" s="423"/>
      <c r="T210" s="105"/>
      <c r="U210" s="101"/>
      <c r="V210" s="71" t="s">
        <v>2588</v>
      </c>
      <c r="W210" s="419"/>
      <c r="X210" s="542"/>
      <c r="Y210" s="542"/>
      <c r="Z210" s="542"/>
    </row>
    <row r="211" spans="1:26" s="71" customFormat="1" ht="14.25" customHeight="1">
      <c r="A211" s="423" t="s">
        <v>2707</v>
      </c>
      <c r="B211" s="420" t="s">
        <v>406</v>
      </c>
      <c r="C211" s="420" t="s">
        <v>415</v>
      </c>
      <c r="D211" s="472" t="s">
        <v>1654</v>
      </c>
      <c r="E211" s="71">
        <v>197558</v>
      </c>
      <c r="F211" s="419"/>
      <c r="J211" s="71" t="s">
        <v>798</v>
      </c>
      <c r="K211" s="71" t="s">
        <v>798</v>
      </c>
      <c r="L211" s="71" t="s">
        <v>798</v>
      </c>
      <c r="M211" s="71" t="s">
        <v>795</v>
      </c>
      <c r="N211" s="71">
        <v>20.099340439999999</v>
      </c>
      <c r="O211" s="71">
        <v>92.989143369999994</v>
      </c>
      <c r="P211" s="419" t="s">
        <v>799</v>
      </c>
      <c r="Q211" s="71" t="s">
        <v>780</v>
      </c>
      <c r="R211" s="426"/>
      <c r="S211" s="427"/>
      <c r="T211" s="105"/>
      <c r="U211" s="101"/>
      <c r="W211" s="419"/>
      <c r="X211" s="542"/>
      <c r="Y211" s="542"/>
      <c r="Z211" s="542"/>
    </row>
    <row r="212" spans="1:26" s="71" customFormat="1" ht="14.25" customHeight="1">
      <c r="A212" s="423" t="s">
        <v>2707</v>
      </c>
      <c r="B212" s="420" t="s">
        <v>406</v>
      </c>
      <c r="C212" s="420" t="s">
        <v>416</v>
      </c>
      <c r="D212" s="472" t="s">
        <v>2787</v>
      </c>
      <c r="E212" s="419" t="s">
        <v>1344</v>
      </c>
      <c r="F212" s="419" t="s">
        <v>835</v>
      </c>
      <c r="G212" s="419" t="s">
        <v>536</v>
      </c>
      <c r="H212" s="419" t="s">
        <v>42</v>
      </c>
      <c r="I212" s="419"/>
      <c r="J212" s="71" t="s">
        <v>44</v>
      </c>
      <c r="K212" s="420" t="s">
        <v>44</v>
      </c>
      <c r="L212" s="420" t="s">
        <v>794</v>
      </c>
      <c r="M212" s="71" t="s">
        <v>795</v>
      </c>
      <c r="N212" s="71">
        <v>20.108101999999999</v>
      </c>
      <c r="O212" s="71">
        <v>92.985095000000001</v>
      </c>
      <c r="P212" s="71" t="s">
        <v>761</v>
      </c>
      <c r="Q212" s="71" t="s">
        <v>780</v>
      </c>
      <c r="R212" s="422">
        <v>1244</v>
      </c>
      <c r="S212" s="423">
        <v>4757</v>
      </c>
      <c r="T212" s="105"/>
      <c r="U212" s="101"/>
      <c r="V212" s="71" t="s">
        <v>837</v>
      </c>
      <c r="X212" s="542">
        <v>79</v>
      </c>
      <c r="Y212" s="542">
        <v>615</v>
      </c>
      <c r="Z212" s="542">
        <v>694</v>
      </c>
    </row>
    <row r="213" spans="1:26" s="71" customFormat="1" ht="14.25" customHeight="1">
      <c r="A213" s="423" t="s">
        <v>2707</v>
      </c>
      <c r="B213" s="420" t="s">
        <v>406</v>
      </c>
      <c r="C213" s="420" t="s">
        <v>2587</v>
      </c>
      <c r="D213" s="472"/>
      <c r="E213" s="420">
        <v>220611</v>
      </c>
      <c r="F213" s="419"/>
      <c r="H213" s="419"/>
      <c r="I213" s="419"/>
      <c r="J213" s="419" t="s">
        <v>2715</v>
      </c>
      <c r="K213" s="419" t="s">
        <v>2677</v>
      </c>
      <c r="L213" s="419" t="s">
        <v>2677</v>
      </c>
      <c r="M213" s="419" t="s">
        <v>2679</v>
      </c>
      <c r="N213" s="419"/>
      <c r="O213" s="419"/>
      <c r="Q213" s="419"/>
      <c r="R213" s="422"/>
      <c r="S213" s="423"/>
      <c r="T213" s="442"/>
      <c r="U213" s="424"/>
      <c r="W213" s="419"/>
      <c r="X213" s="542"/>
      <c r="Y213" s="542"/>
      <c r="Z213" s="542"/>
    </row>
    <row r="214" spans="1:26" s="71" customFormat="1" ht="14.25" customHeight="1">
      <c r="A214" s="423" t="s">
        <v>2707</v>
      </c>
      <c r="B214" s="420" t="s">
        <v>406</v>
      </c>
      <c r="C214" s="420" t="s">
        <v>859</v>
      </c>
      <c r="D214" s="472" t="s">
        <v>2787</v>
      </c>
      <c r="E214" s="419" t="s">
        <v>1356</v>
      </c>
      <c r="F214" s="419" t="s">
        <v>1684</v>
      </c>
      <c r="G214" s="419" t="s">
        <v>1849</v>
      </c>
      <c r="H214" s="419"/>
      <c r="I214" s="419"/>
      <c r="J214" s="419" t="s">
        <v>798</v>
      </c>
      <c r="K214" s="420" t="s">
        <v>798</v>
      </c>
      <c r="L214" s="420" t="s">
        <v>821</v>
      </c>
      <c r="M214" s="419" t="s">
        <v>298</v>
      </c>
      <c r="N214" s="419">
        <v>20.173468</v>
      </c>
      <c r="O214" s="419">
        <v>93.067891000000003</v>
      </c>
      <c r="P214" s="419" t="s">
        <v>799</v>
      </c>
      <c r="Q214" s="419"/>
      <c r="R214" s="422">
        <v>21</v>
      </c>
      <c r="S214" s="423">
        <v>122</v>
      </c>
      <c r="T214" s="442"/>
      <c r="U214" s="424" t="s">
        <v>860</v>
      </c>
      <c r="V214" s="419" t="s">
        <v>861</v>
      </c>
      <c r="W214" s="419"/>
      <c r="X214" s="542"/>
      <c r="Y214" s="542"/>
      <c r="Z214" s="542"/>
    </row>
    <row r="215" spans="1:26" s="71" customFormat="1" ht="14.25" customHeight="1">
      <c r="A215" s="426" t="s">
        <v>2707</v>
      </c>
      <c r="B215" s="426" t="s">
        <v>406</v>
      </c>
      <c r="C215" s="427" t="s">
        <v>2850</v>
      </c>
      <c r="D215" s="421"/>
      <c r="E215" s="419" t="s">
        <v>2872</v>
      </c>
      <c r="F215" s="419"/>
      <c r="G215" s="419"/>
      <c r="H215" s="419"/>
      <c r="I215" s="419"/>
      <c r="J215" s="71" t="s">
        <v>2715</v>
      </c>
      <c r="K215" s="419" t="s">
        <v>2677</v>
      </c>
      <c r="L215" s="419" t="s">
        <v>2677</v>
      </c>
      <c r="R215" s="430"/>
      <c r="S215" s="423"/>
      <c r="T215" s="105">
        <v>43591</v>
      </c>
      <c r="U215" s="430"/>
      <c r="W215" s="422"/>
      <c r="X215" s="542"/>
      <c r="Y215" s="542"/>
      <c r="Z215" s="542"/>
    </row>
    <row r="216" spans="1:26" s="71" customFormat="1" ht="14.25" customHeight="1">
      <c r="A216" s="423" t="s">
        <v>2707</v>
      </c>
      <c r="B216" s="420" t="s">
        <v>406</v>
      </c>
      <c r="C216" s="420" t="s">
        <v>822</v>
      </c>
      <c r="D216" s="472" t="s">
        <v>1654</v>
      </c>
      <c r="E216" s="71">
        <v>197486</v>
      </c>
      <c r="F216" s="419"/>
      <c r="J216" s="71" t="s">
        <v>798</v>
      </c>
      <c r="K216" s="420" t="s">
        <v>798</v>
      </c>
      <c r="L216" s="420" t="s">
        <v>798</v>
      </c>
      <c r="M216" s="71" t="s">
        <v>823</v>
      </c>
      <c r="N216" s="71">
        <v>20.05117035</v>
      </c>
      <c r="O216" s="71">
        <v>93.040992739999993</v>
      </c>
      <c r="P216" s="71" t="s">
        <v>799</v>
      </c>
      <c r="R216" s="99"/>
      <c r="S216" s="423"/>
      <c r="T216" s="105"/>
      <c r="U216" s="424"/>
      <c r="V216" s="71" t="s">
        <v>822</v>
      </c>
      <c r="W216" s="419"/>
      <c r="X216" s="542"/>
      <c r="Y216" s="542"/>
      <c r="Z216" s="542"/>
    </row>
    <row r="217" spans="1:26" s="71" customFormat="1" ht="14.25" customHeight="1">
      <c r="A217" s="423" t="s">
        <v>2707</v>
      </c>
      <c r="B217" s="420" t="s">
        <v>406</v>
      </c>
      <c r="C217" s="420" t="s">
        <v>824</v>
      </c>
      <c r="D217" s="472" t="s">
        <v>1654</v>
      </c>
      <c r="E217" s="71">
        <v>197479</v>
      </c>
      <c r="F217" s="425"/>
      <c r="J217" s="71" t="s">
        <v>798</v>
      </c>
      <c r="K217" s="420" t="s">
        <v>798</v>
      </c>
      <c r="L217" s="420" t="s">
        <v>798</v>
      </c>
      <c r="M217" s="71" t="s">
        <v>298</v>
      </c>
      <c r="N217" s="71">
        <v>20.05978966</v>
      </c>
      <c r="O217" s="71">
        <v>93.034988400000003</v>
      </c>
      <c r="P217" s="71" t="s">
        <v>799</v>
      </c>
      <c r="R217" s="99"/>
      <c r="S217" s="423"/>
      <c r="T217" s="105"/>
      <c r="U217" s="101"/>
      <c r="V217" s="71" t="s">
        <v>824</v>
      </c>
      <c r="W217" s="419"/>
      <c r="X217" s="542"/>
      <c r="Y217" s="542"/>
      <c r="Z217" s="542"/>
    </row>
    <row r="218" spans="1:26" s="71" customFormat="1" ht="14.25" customHeight="1">
      <c r="A218" s="426" t="s">
        <v>2707</v>
      </c>
      <c r="B218" s="426" t="s">
        <v>406</v>
      </c>
      <c r="C218" s="427" t="s">
        <v>2849</v>
      </c>
      <c r="D218" s="421"/>
      <c r="E218" s="71">
        <v>197470</v>
      </c>
      <c r="J218" s="71" t="s">
        <v>2715</v>
      </c>
      <c r="K218" s="419" t="s">
        <v>2677</v>
      </c>
      <c r="L218" s="419" t="s">
        <v>2677</v>
      </c>
      <c r="N218" s="71">
        <v>20.343349456787099</v>
      </c>
      <c r="O218" s="71">
        <v>93.121322631835895</v>
      </c>
      <c r="P218" s="419"/>
      <c r="R218" s="430"/>
      <c r="S218" s="423"/>
      <c r="T218" s="105">
        <v>43591</v>
      </c>
      <c r="U218" s="430"/>
      <c r="W218" s="422"/>
      <c r="X218" s="542"/>
      <c r="Y218" s="542"/>
      <c r="Z218" s="542"/>
    </row>
    <row r="219" spans="1:26" s="71" customFormat="1" ht="14.25" customHeight="1">
      <c r="A219" s="423" t="s">
        <v>2707</v>
      </c>
      <c r="B219" s="420" t="s">
        <v>406</v>
      </c>
      <c r="C219" s="420" t="s">
        <v>2578</v>
      </c>
      <c r="D219" s="472"/>
      <c r="E219" s="71">
        <v>197561</v>
      </c>
      <c r="F219" s="71" t="s">
        <v>2578</v>
      </c>
      <c r="J219" s="71" t="s">
        <v>798</v>
      </c>
      <c r="K219" s="419" t="s">
        <v>798</v>
      </c>
      <c r="L219" s="419" t="s">
        <v>798</v>
      </c>
      <c r="N219" s="71">
        <v>20.072999954223601</v>
      </c>
      <c r="O219" s="419">
        <v>92.924957275390597</v>
      </c>
      <c r="R219" s="426"/>
      <c r="S219" s="427"/>
      <c r="T219" s="105"/>
      <c r="U219" s="101"/>
      <c r="W219" s="419"/>
      <c r="X219" s="542"/>
      <c r="Y219" s="542"/>
      <c r="Z219" s="542"/>
    </row>
    <row r="220" spans="1:26" s="71" customFormat="1" ht="14.25" customHeight="1">
      <c r="A220" s="423" t="s">
        <v>2707</v>
      </c>
      <c r="B220" s="420" t="s">
        <v>406</v>
      </c>
      <c r="C220" s="420" t="s">
        <v>2612</v>
      </c>
      <c r="D220" s="472" t="s">
        <v>1654</v>
      </c>
      <c r="E220" s="71">
        <v>197461</v>
      </c>
      <c r="J220" s="71" t="s">
        <v>798</v>
      </c>
      <c r="K220" s="71" t="s">
        <v>798</v>
      </c>
      <c r="L220" s="194" t="s">
        <v>798</v>
      </c>
      <c r="M220" s="71" t="s">
        <v>298</v>
      </c>
      <c r="R220" s="426"/>
      <c r="S220" s="427"/>
      <c r="T220" s="105"/>
      <c r="U220" s="101"/>
      <c r="W220" s="419"/>
      <c r="X220" s="542"/>
      <c r="Y220" s="542"/>
      <c r="Z220" s="542"/>
    </row>
    <row r="221" spans="1:26" s="71" customFormat="1" ht="14.25" customHeight="1">
      <c r="A221" s="423" t="s">
        <v>2707</v>
      </c>
      <c r="B221" s="420" t="s">
        <v>406</v>
      </c>
      <c r="C221" s="420" t="s">
        <v>2604</v>
      </c>
      <c r="D221" s="472" t="s">
        <v>1654</v>
      </c>
      <c r="E221" s="71">
        <v>197441</v>
      </c>
      <c r="F221" s="419"/>
      <c r="J221" s="71" t="s">
        <v>798</v>
      </c>
      <c r="K221" s="71" t="s">
        <v>798</v>
      </c>
      <c r="L221" s="194" t="s">
        <v>798</v>
      </c>
      <c r="M221" s="71" t="s">
        <v>298</v>
      </c>
      <c r="O221" s="419"/>
      <c r="R221" s="422"/>
      <c r="S221" s="423"/>
      <c r="T221" s="105"/>
      <c r="U221" s="101"/>
      <c r="W221" s="419"/>
      <c r="X221" s="542"/>
      <c r="Y221" s="542"/>
      <c r="Z221" s="542"/>
    </row>
    <row r="222" spans="1:26" s="71" customFormat="1" ht="14.25" customHeight="1">
      <c r="A222" s="423" t="s">
        <v>2707</v>
      </c>
      <c r="B222" s="420" t="s">
        <v>406</v>
      </c>
      <c r="C222" s="420" t="s">
        <v>2586</v>
      </c>
      <c r="D222" s="472"/>
      <c r="E222" s="71">
        <v>197546</v>
      </c>
      <c r="F222" s="419" t="s">
        <v>525</v>
      </c>
      <c r="J222" s="71" t="s">
        <v>798</v>
      </c>
      <c r="K222" s="71" t="s">
        <v>798</v>
      </c>
      <c r="L222" s="71" t="s">
        <v>798</v>
      </c>
      <c r="N222" s="71">
        <v>19.986650466918899</v>
      </c>
      <c r="O222" s="419">
        <v>92.986160278320298</v>
      </c>
      <c r="R222" s="99"/>
      <c r="S222" s="423"/>
      <c r="T222" s="105"/>
      <c r="U222" s="101"/>
      <c r="W222" s="419"/>
      <c r="X222" s="542"/>
      <c r="Y222" s="542"/>
      <c r="Z222" s="542"/>
    </row>
    <row r="223" spans="1:26" s="71" customFormat="1" ht="14.25" customHeight="1">
      <c r="A223" s="423" t="s">
        <v>2707</v>
      </c>
      <c r="B223" s="420" t="s">
        <v>406</v>
      </c>
      <c r="C223" s="420" t="s">
        <v>2583</v>
      </c>
      <c r="D223" s="472"/>
      <c r="F223" s="419"/>
      <c r="I223" s="419"/>
      <c r="J223" s="71" t="s">
        <v>798</v>
      </c>
      <c r="K223" s="71" t="s">
        <v>798</v>
      </c>
      <c r="L223" s="71" t="s">
        <v>798</v>
      </c>
      <c r="R223" s="426"/>
      <c r="S223" s="427"/>
      <c r="T223" s="105"/>
      <c r="U223" s="101"/>
      <c r="W223" s="419"/>
      <c r="X223" s="542"/>
      <c r="Y223" s="542"/>
      <c r="Z223" s="542"/>
    </row>
    <row r="224" spans="1:26" s="71" customFormat="1" ht="14.25" customHeight="1">
      <c r="A224" s="423" t="s">
        <v>2707</v>
      </c>
      <c r="B224" s="420" t="s">
        <v>406</v>
      </c>
      <c r="C224" s="420" t="s">
        <v>536</v>
      </c>
      <c r="D224" s="472" t="s">
        <v>1654</v>
      </c>
      <c r="E224" s="419">
        <v>197537</v>
      </c>
      <c r="F224" s="419" t="s">
        <v>835</v>
      </c>
      <c r="G224" s="419"/>
      <c r="H224" s="419"/>
      <c r="I224" s="419"/>
      <c r="J224" s="71" t="s">
        <v>798</v>
      </c>
      <c r="K224" s="420" t="s">
        <v>798</v>
      </c>
      <c r="L224" s="420" t="s">
        <v>798</v>
      </c>
      <c r="M224" s="419"/>
      <c r="N224" s="419">
        <v>20.109220499999999</v>
      </c>
      <c r="O224" s="419">
        <v>92.995483399999998</v>
      </c>
      <c r="P224" s="71" t="s">
        <v>799</v>
      </c>
      <c r="Q224" s="419"/>
      <c r="R224" s="422"/>
      <c r="S224" s="423"/>
      <c r="T224" s="442"/>
      <c r="U224" s="424"/>
      <c r="V224" s="419" t="s">
        <v>536</v>
      </c>
      <c r="W224" s="419"/>
      <c r="X224" s="542"/>
      <c r="Y224" s="542"/>
      <c r="Z224" s="542"/>
    </row>
    <row r="225" spans="1:26" s="71" customFormat="1" ht="14.25" customHeight="1">
      <c r="A225" s="423" t="s">
        <v>2707</v>
      </c>
      <c r="B225" s="420" t="s">
        <v>406</v>
      </c>
      <c r="C225" s="420" t="s">
        <v>414</v>
      </c>
      <c r="D225" s="472" t="s">
        <v>2787</v>
      </c>
      <c r="E225" s="419" t="s">
        <v>1343</v>
      </c>
      <c r="F225" s="419" t="s">
        <v>835</v>
      </c>
      <c r="G225" s="419" t="s">
        <v>414</v>
      </c>
      <c r="H225" s="419" t="s">
        <v>42</v>
      </c>
      <c r="I225" s="419"/>
      <c r="J225" s="419" t="s">
        <v>44</v>
      </c>
      <c r="K225" s="420" t="s">
        <v>44</v>
      </c>
      <c r="L225" s="420" t="s">
        <v>794</v>
      </c>
      <c r="M225" s="419" t="s">
        <v>795</v>
      </c>
      <c r="N225" s="419">
        <v>20.090183</v>
      </c>
      <c r="O225" s="419">
        <v>93.010368999999997</v>
      </c>
      <c r="P225" s="419" t="s">
        <v>761</v>
      </c>
      <c r="Q225" s="419" t="s">
        <v>780</v>
      </c>
      <c r="R225" s="422">
        <v>1320</v>
      </c>
      <c r="S225" s="423">
        <v>6116</v>
      </c>
      <c r="T225" s="442"/>
      <c r="U225" s="424"/>
      <c r="V225" s="419" t="s">
        <v>414</v>
      </c>
      <c r="W225" s="419"/>
      <c r="X225" s="542">
        <v>116</v>
      </c>
      <c r="Y225" s="542">
        <v>1129</v>
      </c>
      <c r="Z225" s="542">
        <v>1245</v>
      </c>
    </row>
    <row r="226" spans="1:26" s="71" customFormat="1" ht="14.25" customHeight="1">
      <c r="A226" s="423" t="s">
        <v>2707</v>
      </c>
      <c r="B226" s="420" t="s">
        <v>406</v>
      </c>
      <c r="C226" s="420" t="s">
        <v>2871</v>
      </c>
      <c r="D226" s="472"/>
      <c r="E226" s="71">
        <v>197547</v>
      </c>
      <c r="F226" s="419"/>
      <c r="J226" s="71" t="s">
        <v>798</v>
      </c>
      <c r="K226" s="71" t="s">
        <v>798</v>
      </c>
      <c r="L226" s="71" t="s">
        <v>798</v>
      </c>
      <c r="N226" s="71">
        <v>19.9233303070068</v>
      </c>
      <c r="O226" s="71">
        <v>93.018592834472699</v>
      </c>
      <c r="R226" s="426"/>
      <c r="S226" s="427"/>
      <c r="T226" s="105"/>
      <c r="U226" s="101"/>
      <c r="V226" s="420" t="s">
        <v>2585</v>
      </c>
      <c r="W226" s="419"/>
      <c r="X226" s="542"/>
      <c r="Y226" s="542"/>
      <c r="Z226" s="542"/>
    </row>
    <row r="227" spans="1:26" s="71" customFormat="1" ht="14.25" customHeight="1">
      <c r="A227" s="423" t="s">
        <v>2707</v>
      </c>
      <c r="B227" s="420" t="s">
        <v>406</v>
      </c>
      <c r="C227" s="420" t="s">
        <v>810</v>
      </c>
      <c r="D227" s="472" t="s">
        <v>1654</v>
      </c>
      <c r="E227" s="71">
        <v>197566</v>
      </c>
      <c r="F227" s="419"/>
      <c r="J227" s="71" t="s">
        <v>798</v>
      </c>
      <c r="K227" s="71" t="s">
        <v>798</v>
      </c>
      <c r="L227" s="420" t="s">
        <v>798</v>
      </c>
      <c r="N227" s="71">
        <v>19.94882965</v>
      </c>
      <c r="O227" s="71">
        <v>92.978782649999999</v>
      </c>
      <c r="P227" s="71" t="s">
        <v>799</v>
      </c>
      <c r="R227" s="99"/>
      <c r="S227" s="423"/>
      <c r="T227" s="105"/>
      <c r="U227" s="101"/>
      <c r="V227" s="71" t="s">
        <v>810</v>
      </c>
      <c r="W227" s="419"/>
      <c r="X227" s="542"/>
      <c r="Y227" s="542"/>
      <c r="Z227" s="542"/>
    </row>
    <row r="228" spans="1:26" s="71" customFormat="1" ht="14.25" customHeight="1">
      <c r="A228" s="423" t="s">
        <v>2707</v>
      </c>
      <c r="B228" s="420" t="s">
        <v>406</v>
      </c>
      <c r="C228" s="420" t="s">
        <v>2603</v>
      </c>
      <c r="D228" s="421" t="s">
        <v>1654</v>
      </c>
      <c r="E228" s="71">
        <v>197450</v>
      </c>
      <c r="J228" s="71" t="s">
        <v>798</v>
      </c>
      <c r="K228" s="71" t="s">
        <v>798</v>
      </c>
      <c r="L228" s="194" t="s">
        <v>798</v>
      </c>
      <c r="M228" s="71" t="s">
        <v>298</v>
      </c>
      <c r="R228" s="420"/>
      <c r="S228" s="420"/>
      <c r="T228" s="105"/>
      <c r="U228" s="101"/>
      <c r="W228" s="419"/>
      <c r="X228" s="542"/>
      <c r="Y228" s="542"/>
      <c r="Z228" s="542"/>
    </row>
    <row r="229" spans="1:26" s="71" customFormat="1" ht="14.25" customHeight="1">
      <c r="A229" s="423" t="s">
        <v>2707</v>
      </c>
      <c r="B229" s="420" t="s">
        <v>406</v>
      </c>
      <c r="C229" s="420" t="s">
        <v>2613</v>
      </c>
      <c r="D229" s="472" t="s">
        <v>1654</v>
      </c>
      <c r="E229" s="71">
        <v>197463</v>
      </c>
      <c r="J229" s="71" t="s">
        <v>798</v>
      </c>
      <c r="K229" s="71" t="s">
        <v>798</v>
      </c>
      <c r="L229" s="194" t="s">
        <v>798</v>
      </c>
      <c r="M229" s="71" t="s">
        <v>298</v>
      </c>
      <c r="R229" s="99"/>
      <c r="S229" s="100"/>
      <c r="T229" s="105"/>
      <c r="U229" s="101"/>
      <c r="W229" s="419"/>
      <c r="X229" s="542"/>
      <c r="Y229" s="542"/>
      <c r="Z229" s="542"/>
    </row>
    <row r="230" spans="1:26" s="71" customFormat="1" ht="14.25" customHeight="1">
      <c r="A230" s="423" t="s">
        <v>2707</v>
      </c>
      <c r="B230" s="420" t="s">
        <v>406</v>
      </c>
      <c r="C230" s="420" t="s">
        <v>2581</v>
      </c>
      <c r="D230" s="472"/>
      <c r="E230" s="71">
        <v>197565</v>
      </c>
      <c r="F230" s="71" t="s">
        <v>2578</v>
      </c>
      <c r="J230" s="71" t="s">
        <v>798</v>
      </c>
      <c r="K230" s="71" t="s">
        <v>798</v>
      </c>
      <c r="L230" s="71" t="s">
        <v>798</v>
      </c>
      <c r="N230" s="71">
        <v>20.005199432373001</v>
      </c>
      <c r="O230" s="71">
        <v>92.948463439941406</v>
      </c>
      <c r="R230" s="426"/>
      <c r="S230" s="427"/>
      <c r="T230" s="105"/>
      <c r="U230" s="101"/>
      <c r="W230" s="419"/>
      <c r="X230" s="542"/>
      <c r="Y230" s="542"/>
      <c r="Z230" s="542"/>
    </row>
    <row r="231" spans="1:26" s="71" customFormat="1" ht="14.25" customHeight="1">
      <c r="A231" s="423" t="s">
        <v>2707</v>
      </c>
      <c r="B231" s="420" t="s">
        <v>406</v>
      </c>
      <c r="C231" s="420" t="s">
        <v>2607</v>
      </c>
      <c r="D231" s="472" t="s">
        <v>1654</v>
      </c>
      <c r="E231" s="71">
        <v>197404</v>
      </c>
      <c r="I231" s="419"/>
      <c r="J231" s="71" t="s">
        <v>798</v>
      </c>
      <c r="K231" s="71" t="s">
        <v>798</v>
      </c>
      <c r="L231" s="194" t="s">
        <v>798</v>
      </c>
      <c r="M231" s="71" t="s">
        <v>298</v>
      </c>
      <c r="P231" s="419"/>
      <c r="R231" s="99"/>
      <c r="S231" s="423"/>
      <c r="T231" s="105"/>
      <c r="U231" s="101"/>
      <c r="W231" s="419"/>
      <c r="X231" s="542"/>
      <c r="Y231" s="542"/>
      <c r="Z231" s="542"/>
    </row>
    <row r="232" spans="1:26" s="71" customFormat="1" ht="14.25" customHeight="1">
      <c r="A232" s="423" t="s">
        <v>2707</v>
      </c>
      <c r="B232" s="420" t="s">
        <v>406</v>
      </c>
      <c r="C232" s="420" t="s">
        <v>2611</v>
      </c>
      <c r="D232" s="472" t="s">
        <v>1654</v>
      </c>
      <c r="E232" s="71">
        <v>197464</v>
      </c>
      <c r="J232" s="71" t="s">
        <v>798</v>
      </c>
      <c r="K232" s="71" t="s">
        <v>798</v>
      </c>
      <c r="L232" s="194" t="s">
        <v>798</v>
      </c>
      <c r="M232" s="71" t="s">
        <v>298</v>
      </c>
      <c r="R232" s="99"/>
      <c r="S232" s="423"/>
      <c r="T232" s="105"/>
      <c r="U232" s="101"/>
      <c r="W232" s="419"/>
      <c r="X232" s="542"/>
      <c r="Y232" s="542"/>
      <c r="Z232" s="542"/>
    </row>
    <row r="233" spans="1:26" s="71" customFormat="1" ht="14.25" customHeight="1">
      <c r="A233" s="423" t="s">
        <v>2707</v>
      </c>
      <c r="B233" s="426" t="s">
        <v>406</v>
      </c>
      <c r="C233" s="427" t="s">
        <v>831</v>
      </c>
      <c r="D233" s="421" t="s">
        <v>1654</v>
      </c>
      <c r="E233" s="71" t="s">
        <v>1342</v>
      </c>
      <c r="F233" s="445"/>
      <c r="J233" s="71" t="s">
        <v>44</v>
      </c>
      <c r="K233" s="420" t="s">
        <v>44</v>
      </c>
      <c r="L233" s="420" t="s">
        <v>760</v>
      </c>
      <c r="M233" s="71" t="s">
        <v>795</v>
      </c>
      <c r="N233" s="71">
        <v>20.073437999999999</v>
      </c>
      <c r="O233" s="71">
        <v>93.154551999999995</v>
      </c>
      <c r="P233" s="71" t="s">
        <v>761</v>
      </c>
      <c r="R233" s="430"/>
      <c r="S233" s="423"/>
      <c r="T233" s="105"/>
      <c r="U233" s="101"/>
      <c r="W233" s="419"/>
      <c r="X233" s="542"/>
      <c r="Y233" s="542"/>
      <c r="Z233" s="542"/>
    </row>
    <row r="234" spans="1:26" s="71" customFormat="1" ht="14.25" customHeight="1">
      <c r="A234" s="423" t="s">
        <v>2707</v>
      </c>
      <c r="B234" s="420" t="s">
        <v>406</v>
      </c>
      <c r="C234" s="420" t="s">
        <v>410</v>
      </c>
      <c r="D234" s="472" t="s">
        <v>2787</v>
      </c>
      <c r="E234" s="71" t="s">
        <v>1342</v>
      </c>
      <c r="F234" s="420" t="s">
        <v>1737</v>
      </c>
      <c r="G234" s="71" t="s">
        <v>1738</v>
      </c>
      <c r="H234" s="71" t="s">
        <v>42</v>
      </c>
      <c r="J234" s="71" t="s">
        <v>44</v>
      </c>
      <c r="K234" s="420" t="s">
        <v>44</v>
      </c>
      <c r="L234" s="420" t="s">
        <v>1873</v>
      </c>
      <c r="M234" s="71" t="s">
        <v>795</v>
      </c>
      <c r="N234" s="71">
        <v>20.073437999999999</v>
      </c>
      <c r="O234" s="71">
        <v>93.154551999999995</v>
      </c>
      <c r="P234" s="419" t="s">
        <v>799</v>
      </c>
      <c r="Q234" s="71" t="s">
        <v>780</v>
      </c>
      <c r="R234" s="422">
        <v>1010</v>
      </c>
      <c r="S234" s="423">
        <v>4686</v>
      </c>
      <c r="T234" s="105"/>
      <c r="U234" s="101"/>
      <c r="V234" s="71" t="s">
        <v>410</v>
      </c>
      <c r="W234" s="419"/>
      <c r="X234" s="542">
        <v>194</v>
      </c>
      <c r="Y234" s="542">
        <v>735</v>
      </c>
      <c r="Z234" s="542">
        <v>929</v>
      </c>
    </row>
    <row r="235" spans="1:26" s="71" customFormat="1" ht="14.25" customHeight="1">
      <c r="A235" s="423" t="s">
        <v>2707</v>
      </c>
      <c r="B235" s="420" t="s">
        <v>406</v>
      </c>
      <c r="C235" s="420" t="s">
        <v>411</v>
      </c>
      <c r="D235" s="472" t="s">
        <v>2787</v>
      </c>
      <c r="E235" s="71" t="s">
        <v>1342</v>
      </c>
      <c r="F235" s="71" t="s">
        <v>1737</v>
      </c>
      <c r="G235" s="71" t="s">
        <v>1738</v>
      </c>
      <c r="H235" s="71" t="s">
        <v>42</v>
      </c>
      <c r="J235" s="71" t="s">
        <v>44</v>
      </c>
      <c r="K235" s="420" t="s">
        <v>44</v>
      </c>
      <c r="L235" s="420" t="s">
        <v>794</v>
      </c>
      <c r="M235" s="71" t="s">
        <v>795</v>
      </c>
      <c r="N235" s="71">
        <v>20.073437999999999</v>
      </c>
      <c r="O235" s="420">
        <v>93.154551999999995</v>
      </c>
      <c r="P235" s="419" t="s">
        <v>761</v>
      </c>
      <c r="Q235" s="71" t="s">
        <v>780</v>
      </c>
      <c r="R235" s="422">
        <v>905</v>
      </c>
      <c r="S235" s="423">
        <v>4124</v>
      </c>
      <c r="T235" s="105"/>
      <c r="U235" s="101"/>
      <c r="V235" s="71" t="s">
        <v>411</v>
      </c>
      <c r="W235" s="419"/>
      <c r="X235" s="542">
        <v>112</v>
      </c>
      <c r="Y235" s="542">
        <v>643</v>
      </c>
      <c r="Z235" s="542">
        <v>755</v>
      </c>
    </row>
    <row r="236" spans="1:26" s="71" customFormat="1" ht="14.25" customHeight="1">
      <c r="A236" s="423" t="s">
        <v>2707</v>
      </c>
      <c r="B236" s="420" t="s">
        <v>406</v>
      </c>
      <c r="C236" s="420" t="s">
        <v>2610</v>
      </c>
      <c r="D236" s="472" t="s">
        <v>1654</v>
      </c>
      <c r="E236" s="71">
        <v>197460</v>
      </c>
      <c r="J236" s="71" t="s">
        <v>798</v>
      </c>
      <c r="K236" s="71" t="s">
        <v>798</v>
      </c>
      <c r="L236" s="194" t="s">
        <v>798</v>
      </c>
      <c r="M236" s="71" t="s">
        <v>298</v>
      </c>
      <c r="R236" s="422"/>
      <c r="S236" s="423"/>
      <c r="T236" s="105"/>
      <c r="U236" s="101"/>
      <c r="W236" s="419"/>
      <c r="X236" s="542"/>
      <c r="Y236" s="542"/>
      <c r="Z236" s="542"/>
    </row>
    <row r="237" spans="1:26" s="71" customFormat="1" ht="14.25" customHeight="1">
      <c r="A237" s="423" t="s">
        <v>2707</v>
      </c>
      <c r="B237" s="420" t="s">
        <v>406</v>
      </c>
      <c r="C237" s="420" t="s">
        <v>2601</v>
      </c>
      <c r="D237" s="472" t="s">
        <v>1654</v>
      </c>
      <c r="E237" s="71">
        <v>197449</v>
      </c>
      <c r="J237" s="71" t="s">
        <v>798</v>
      </c>
      <c r="K237" s="71" t="s">
        <v>798</v>
      </c>
      <c r="L237" s="194" t="s">
        <v>798</v>
      </c>
      <c r="M237" s="71" t="s">
        <v>298</v>
      </c>
      <c r="N237" s="419"/>
      <c r="R237" s="426"/>
      <c r="S237" s="427"/>
      <c r="T237" s="105"/>
      <c r="U237" s="101"/>
      <c r="W237" s="419"/>
      <c r="X237" s="542"/>
      <c r="Y237" s="542"/>
      <c r="Z237" s="542"/>
    </row>
    <row r="238" spans="1:26" s="71" customFormat="1" ht="14.25" customHeight="1">
      <c r="A238" s="423" t="s">
        <v>2707</v>
      </c>
      <c r="B238" s="420" t="s">
        <v>406</v>
      </c>
      <c r="C238" s="420" t="s">
        <v>835</v>
      </c>
      <c r="D238" s="472" t="s">
        <v>1654</v>
      </c>
      <c r="E238" s="71">
        <v>197531</v>
      </c>
      <c r="F238" s="71" t="s">
        <v>835</v>
      </c>
      <c r="J238" s="71" t="s">
        <v>798</v>
      </c>
      <c r="K238" s="420" t="s">
        <v>798</v>
      </c>
      <c r="L238" s="420" t="s">
        <v>798</v>
      </c>
      <c r="N238" s="71">
        <v>20.10293961</v>
      </c>
      <c r="O238" s="71">
        <v>93.000679020000007</v>
      </c>
      <c r="P238" s="71" t="s">
        <v>799</v>
      </c>
      <c r="R238" s="422"/>
      <c r="S238" s="423"/>
      <c r="T238" s="105"/>
      <c r="U238" s="101"/>
      <c r="V238" s="71" t="s">
        <v>836</v>
      </c>
      <c r="W238" s="419"/>
      <c r="X238" s="542"/>
      <c r="Y238" s="542"/>
      <c r="Z238" s="542"/>
    </row>
    <row r="239" spans="1:26" s="71" customFormat="1" ht="14.25" customHeight="1">
      <c r="A239" s="423" t="s">
        <v>2707</v>
      </c>
      <c r="B239" s="420" t="s">
        <v>406</v>
      </c>
      <c r="C239" s="420" t="s">
        <v>828</v>
      </c>
      <c r="D239" s="472" t="s">
        <v>1654</v>
      </c>
      <c r="E239" s="71">
        <v>197430</v>
      </c>
      <c r="F239" s="420"/>
      <c r="J239" s="71" t="s">
        <v>798</v>
      </c>
      <c r="K239" s="420" t="s">
        <v>798</v>
      </c>
      <c r="L239" s="420" t="s">
        <v>798</v>
      </c>
      <c r="M239" s="71" t="s">
        <v>298</v>
      </c>
      <c r="N239" s="71">
        <v>20.065919000000001</v>
      </c>
      <c r="O239" s="71">
        <v>93.004040000000003</v>
      </c>
      <c r="P239" s="71" t="s">
        <v>799</v>
      </c>
      <c r="R239" s="422"/>
      <c r="S239" s="423"/>
      <c r="T239" s="105"/>
      <c r="U239" s="101"/>
      <c r="V239" s="71" t="s">
        <v>828</v>
      </c>
      <c r="W239" s="419"/>
      <c r="X239" s="542"/>
      <c r="Y239" s="542"/>
      <c r="Z239" s="542"/>
    </row>
    <row r="240" spans="1:26" s="71" customFormat="1" ht="14.25" customHeight="1">
      <c r="A240" s="423" t="s">
        <v>2707</v>
      </c>
      <c r="B240" s="420" t="s">
        <v>406</v>
      </c>
      <c r="C240" s="420" t="s">
        <v>2695</v>
      </c>
      <c r="D240" s="472" t="s">
        <v>1654</v>
      </c>
      <c r="E240" s="419">
        <v>197462</v>
      </c>
      <c r="J240" s="71" t="s">
        <v>798</v>
      </c>
      <c r="K240" s="71" t="s">
        <v>798</v>
      </c>
      <c r="L240" s="194" t="s">
        <v>798</v>
      </c>
      <c r="M240" s="71" t="s">
        <v>298</v>
      </c>
      <c r="R240" s="426"/>
      <c r="S240" s="427"/>
      <c r="T240" s="105"/>
      <c r="U240" s="101"/>
      <c r="W240" s="419"/>
      <c r="X240" s="542"/>
      <c r="Y240" s="542"/>
      <c r="Z240" s="542"/>
    </row>
    <row r="241" spans="1:26" s="71" customFormat="1" ht="14.25" customHeight="1">
      <c r="A241" s="423" t="s">
        <v>2707</v>
      </c>
      <c r="B241" s="420" t="s">
        <v>406</v>
      </c>
      <c r="C241" s="420" t="s">
        <v>2605</v>
      </c>
      <c r="D241" s="421" t="s">
        <v>1654</v>
      </c>
      <c r="E241" s="71">
        <v>197442</v>
      </c>
      <c r="J241" s="71" t="s">
        <v>798</v>
      </c>
      <c r="K241" s="71" t="s">
        <v>798</v>
      </c>
      <c r="L241" s="194" t="s">
        <v>798</v>
      </c>
      <c r="M241" s="71" t="s">
        <v>2694</v>
      </c>
      <c r="R241" s="420"/>
      <c r="S241" s="420"/>
      <c r="T241" s="105"/>
      <c r="U241" s="101"/>
      <c r="W241" s="419"/>
      <c r="X241" s="542"/>
      <c r="Y241" s="542"/>
      <c r="Z241" s="542"/>
    </row>
    <row r="242" spans="1:26" s="71" customFormat="1" ht="14.25" customHeight="1">
      <c r="A242" s="423" t="s">
        <v>2707</v>
      </c>
      <c r="B242" s="420" t="s">
        <v>406</v>
      </c>
      <c r="C242" s="420" t="s">
        <v>2606</v>
      </c>
      <c r="D242" s="472" t="s">
        <v>1654</v>
      </c>
      <c r="E242" s="71">
        <v>197405</v>
      </c>
      <c r="J242" s="71" t="s">
        <v>798</v>
      </c>
      <c r="K242" s="71" t="s">
        <v>798</v>
      </c>
      <c r="L242" s="194" t="s">
        <v>798</v>
      </c>
      <c r="M242" s="71" t="s">
        <v>298</v>
      </c>
      <c r="R242" s="422"/>
      <c r="S242" s="423"/>
      <c r="T242" s="105"/>
      <c r="U242" s="101"/>
      <c r="W242" s="419"/>
      <c r="X242" s="542"/>
      <c r="Y242" s="542"/>
      <c r="Z242" s="542"/>
    </row>
    <row r="243" spans="1:26" s="71" customFormat="1" ht="14.25" customHeight="1">
      <c r="A243" s="423" t="s">
        <v>2707</v>
      </c>
      <c r="B243" s="420" t="s">
        <v>406</v>
      </c>
      <c r="C243" s="420" t="s">
        <v>412</v>
      </c>
      <c r="D243" s="421" t="s">
        <v>1654</v>
      </c>
      <c r="E243" s="429">
        <v>197557</v>
      </c>
      <c r="F243" s="453"/>
      <c r="G243" s="429"/>
      <c r="H243" s="429"/>
      <c r="I243" s="429"/>
      <c r="J243" s="71" t="s">
        <v>798</v>
      </c>
      <c r="K243" s="420" t="s">
        <v>798</v>
      </c>
      <c r="L243" s="420" t="s">
        <v>798</v>
      </c>
      <c r="M243" s="71" t="s">
        <v>298</v>
      </c>
      <c r="N243" s="419">
        <v>20.0839</v>
      </c>
      <c r="O243" s="419">
        <v>92.993799999999993</v>
      </c>
      <c r="P243" s="419" t="s">
        <v>799</v>
      </c>
      <c r="Q243" s="71" t="s">
        <v>780</v>
      </c>
      <c r="R243" s="420"/>
      <c r="S243" s="420"/>
      <c r="T243" s="105"/>
      <c r="U243" s="424"/>
      <c r="V243" s="419" t="s">
        <v>412</v>
      </c>
      <c r="W243" s="419"/>
      <c r="X243" s="542"/>
      <c r="Y243" s="542"/>
      <c r="Z243" s="542"/>
    </row>
    <row r="244" spans="1:26" s="71" customFormat="1" ht="14.25" customHeight="1">
      <c r="A244" s="423" t="s">
        <v>2707</v>
      </c>
      <c r="B244" s="420" t="s">
        <v>406</v>
      </c>
      <c r="C244" s="420" t="s">
        <v>409</v>
      </c>
      <c r="D244" s="472" t="s">
        <v>2787</v>
      </c>
      <c r="E244" s="71" t="s">
        <v>1340</v>
      </c>
      <c r="F244" s="71" t="s">
        <v>409</v>
      </c>
      <c r="G244" s="71" t="s">
        <v>1683</v>
      </c>
      <c r="H244" s="71" t="s">
        <v>42</v>
      </c>
      <c r="J244" s="71" t="s">
        <v>44</v>
      </c>
      <c r="K244" s="420" t="s">
        <v>44</v>
      </c>
      <c r="L244" s="420" t="s">
        <v>794</v>
      </c>
      <c r="M244" s="71" t="s">
        <v>795</v>
      </c>
      <c r="N244" s="71">
        <v>20.064226000000001</v>
      </c>
      <c r="O244" s="71">
        <v>92.993758999999997</v>
      </c>
      <c r="P244" s="419" t="s">
        <v>761</v>
      </c>
      <c r="Q244" s="71" t="s">
        <v>780</v>
      </c>
      <c r="R244" s="422">
        <v>617</v>
      </c>
      <c r="S244" s="423">
        <v>2852</v>
      </c>
      <c r="T244" s="105"/>
      <c r="U244" s="101"/>
      <c r="V244" s="71" t="s">
        <v>409</v>
      </c>
      <c r="W244" s="419"/>
      <c r="X244" s="542">
        <v>125</v>
      </c>
      <c r="Y244" s="542">
        <v>401</v>
      </c>
      <c r="Z244" s="542">
        <v>526</v>
      </c>
    </row>
    <row r="245" spans="1:26" s="71" customFormat="1" ht="14.25" customHeight="1">
      <c r="A245" s="423" t="s">
        <v>2707</v>
      </c>
      <c r="B245" s="187" t="s">
        <v>406</v>
      </c>
      <c r="C245" s="187" t="s">
        <v>826</v>
      </c>
      <c r="D245" s="421" t="s">
        <v>1655</v>
      </c>
      <c r="E245" s="183" t="s">
        <v>1341</v>
      </c>
      <c r="F245" s="183" t="s">
        <v>409</v>
      </c>
      <c r="G245" s="183" t="s">
        <v>1683</v>
      </c>
      <c r="H245" s="183"/>
      <c r="I245" s="183"/>
      <c r="J245" s="71" t="s">
        <v>44</v>
      </c>
      <c r="K245" s="420" t="s">
        <v>44</v>
      </c>
      <c r="L245" s="420" t="s">
        <v>760</v>
      </c>
      <c r="M245" s="183" t="s">
        <v>795</v>
      </c>
      <c r="N245" s="183">
        <v>20.064226000000001</v>
      </c>
      <c r="O245" s="183">
        <v>92.993758999999997</v>
      </c>
      <c r="P245" s="71" t="s">
        <v>761</v>
      </c>
      <c r="Q245" s="183"/>
      <c r="R245" s="184"/>
      <c r="S245" s="182"/>
      <c r="T245" s="185"/>
      <c r="U245" s="186"/>
      <c r="V245" s="183" t="s">
        <v>827</v>
      </c>
      <c r="W245" s="419"/>
      <c r="X245" s="542"/>
      <c r="Y245" s="542"/>
      <c r="Z245" s="542"/>
    </row>
    <row r="246" spans="1:26" s="71" customFormat="1" ht="14.25" customHeight="1">
      <c r="A246" s="423" t="s">
        <v>2707</v>
      </c>
      <c r="B246" s="420" t="s">
        <v>406</v>
      </c>
      <c r="C246" s="420" t="s">
        <v>408</v>
      </c>
      <c r="D246" s="472" t="s">
        <v>1654</v>
      </c>
      <c r="E246" s="419">
        <v>197548</v>
      </c>
      <c r="F246" s="419"/>
      <c r="G246" s="419"/>
      <c r="H246" s="419"/>
      <c r="I246" s="419"/>
      <c r="J246" s="71" t="s">
        <v>798</v>
      </c>
      <c r="K246" s="420" t="s">
        <v>798</v>
      </c>
      <c r="L246" s="420" t="s">
        <v>798</v>
      </c>
      <c r="M246" s="71" t="s">
        <v>795</v>
      </c>
      <c r="N246" s="419">
        <v>20.0641</v>
      </c>
      <c r="O246" s="420">
        <v>92.994600000000005</v>
      </c>
      <c r="P246" s="419" t="s">
        <v>799</v>
      </c>
      <c r="Q246" s="71" t="s">
        <v>780</v>
      </c>
      <c r="R246" s="422"/>
      <c r="S246" s="423"/>
      <c r="T246" s="105"/>
      <c r="U246" s="424"/>
      <c r="V246" s="419" t="s">
        <v>408</v>
      </c>
      <c r="W246" s="419"/>
      <c r="X246" s="542"/>
      <c r="Y246" s="542"/>
      <c r="Z246" s="542"/>
    </row>
    <row r="247" spans="1:26" s="71" customFormat="1" ht="14.25" customHeight="1">
      <c r="A247" s="423" t="s">
        <v>2707</v>
      </c>
      <c r="B247" s="420" t="s">
        <v>406</v>
      </c>
      <c r="C247" s="420" t="s">
        <v>407</v>
      </c>
      <c r="D247" s="472" t="s">
        <v>1654</v>
      </c>
      <c r="E247" s="71">
        <v>197550</v>
      </c>
      <c r="F247" s="419"/>
      <c r="J247" s="71" t="s">
        <v>798</v>
      </c>
      <c r="K247" s="420" t="s">
        <v>798</v>
      </c>
      <c r="L247" s="420" t="s">
        <v>798</v>
      </c>
      <c r="M247" s="71" t="s">
        <v>298</v>
      </c>
      <c r="N247" s="71">
        <v>20.057860999999999</v>
      </c>
      <c r="O247" s="420">
        <v>92.995181000000002</v>
      </c>
      <c r="P247" s="71" t="s">
        <v>799</v>
      </c>
      <c r="Q247" s="71" t="s">
        <v>780</v>
      </c>
      <c r="R247" s="422"/>
      <c r="S247" s="423"/>
      <c r="T247" s="105"/>
      <c r="U247" s="101"/>
      <c r="V247" s="71" t="s">
        <v>407</v>
      </c>
      <c r="W247" s="422"/>
      <c r="X247" s="542"/>
      <c r="Y247" s="542"/>
      <c r="Z247" s="542"/>
    </row>
    <row r="248" spans="1:26" s="71" customFormat="1" ht="14.25" customHeight="1">
      <c r="A248" s="423" t="s">
        <v>2707</v>
      </c>
      <c r="B248" s="420" t="s">
        <v>406</v>
      </c>
      <c r="C248" s="420" t="s">
        <v>1145</v>
      </c>
      <c r="D248" s="472" t="s">
        <v>1654</v>
      </c>
      <c r="E248" s="71">
        <v>220691</v>
      </c>
      <c r="F248" s="420"/>
      <c r="J248" s="71" t="s">
        <v>798</v>
      </c>
      <c r="K248" s="420" t="s">
        <v>798</v>
      </c>
      <c r="L248" s="420" t="s">
        <v>798</v>
      </c>
      <c r="P248" s="71" t="s">
        <v>799</v>
      </c>
      <c r="R248" s="426"/>
      <c r="S248" s="427"/>
      <c r="T248" s="105"/>
      <c r="U248" s="101"/>
      <c r="V248" s="71" t="s">
        <v>1145</v>
      </c>
      <c r="W248" s="422"/>
      <c r="X248" s="542"/>
      <c r="Y248" s="542"/>
      <c r="Z248" s="542"/>
    </row>
    <row r="249" spans="1:26" s="71" customFormat="1" ht="14.25" customHeight="1">
      <c r="A249" s="423" t="s">
        <v>2707</v>
      </c>
      <c r="B249" s="420" t="s">
        <v>406</v>
      </c>
      <c r="C249" s="420" t="s">
        <v>2609</v>
      </c>
      <c r="D249" s="472" t="s">
        <v>1654</v>
      </c>
      <c r="E249" s="419">
        <v>197403</v>
      </c>
      <c r="F249" s="419"/>
      <c r="G249" s="419"/>
      <c r="H249" s="419"/>
      <c r="I249" s="419"/>
      <c r="J249" s="71" t="s">
        <v>798</v>
      </c>
      <c r="K249" s="71" t="s">
        <v>798</v>
      </c>
      <c r="L249" s="194" t="s">
        <v>798</v>
      </c>
      <c r="M249" s="71" t="s">
        <v>298</v>
      </c>
      <c r="N249" s="419"/>
      <c r="O249" s="419"/>
      <c r="R249" s="422"/>
      <c r="S249" s="423"/>
      <c r="T249" s="105"/>
      <c r="U249" s="424"/>
      <c r="V249" s="419"/>
      <c r="W249" s="419"/>
      <c r="X249" s="542"/>
      <c r="Y249" s="542"/>
      <c r="Z249" s="542"/>
    </row>
    <row r="250" spans="1:26" s="71" customFormat="1" ht="14.25" customHeight="1">
      <c r="A250" s="423" t="s">
        <v>2707</v>
      </c>
      <c r="B250" s="420" t="s">
        <v>406</v>
      </c>
      <c r="C250" s="420" t="s">
        <v>2608</v>
      </c>
      <c r="D250" s="472" t="s">
        <v>1654</v>
      </c>
      <c r="E250" s="71">
        <v>197401</v>
      </c>
      <c r="F250" s="71" t="s">
        <v>2608</v>
      </c>
      <c r="J250" s="71" t="s">
        <v>798</v>
      </c>
      <c r="K250" s="71" t="s">
        <v>798</v>
      </c>
      <c r="L250" s="194" t="s">
        <v>798</v>
      </c>
      <c r="M250" s="71" t="s">
        <v>298</v>
      </c>
      <c r="N250" s="71">
        <v>20.260679244995099</v>
      </c>
      <c r="O250" s="71">
        <v>93.051597595214801</v>
      </c>
      <c r="R250" s="422"/>
      <c r="S250" s="423"/>
      <c r="T250" s="105"/>
      <c r="U250" s="101"/>
      <c r="W250" s="419"/>
      <c r="X250" s="542"/>
      <c r="Y250" s="542"/>
      <c r="Z250" s="542"/>
    </row>
    <row r="251" spans="1:26" s="71" customFormat="1" ht="14.25" customHeight="1">
      <c r="A251" s="423" t="s">
        <v>2707</v>
      </c>
      <c r="B251" s="420" t="s">
        <v>406</v>
      </c>
      <c r="C251" s="420" t="s">
        <v>829</v>
      </c>
      <c r="D251" s="472" t="s">
        <v>1654</v>
      </c>
      <c r="E251" s="71">
        <v>197562</v>
      </c>
      <c r="F251" s="420"/>
      <c r="J251" s="71" t="s">
        <v>798</v>
      </c>
      <c r="K251" s="420" t="s">
        <v>798</v>
      </c>
      <c r="L251" s="420" t="s">
        <v>798</v>
      </c>
      <c r="N251" s="71">
        <v>20.06903076</v>
      </c>
      <c r="O251" s="71">
        <v>92.930137630000004</v>
      </c>
      <c r="P251" s="71" t="s">
        <v>799</v>
      </c>
      <c r="R251" s="422"/>
      <c r="S251" s="423"/>
      <c r="T251" s="105"/>
      <c r="U251" s="101"/>
      <c r="V251" s="71" t="s">
        <v>830</v>
      </c>
      <c r="W251" s="422"/>
      <c r="X251" s="542"/>
      <c r="Y251" s="542"/>
      <c r="Z251" s="542"/>
    </row>
    <row r="252" spans="1:26" s="71" customFormat="1" ht="14.25" customHeight="1">
      <c r="A252" s="423" t="s">
        <v>2707</v>
      </c>
      <c r="B252" s="420" t="s">
        <v>406</v>
      </c>
      <c r="C252" s="420" t="s">
        <v>2870</v>
      </c>
      <c r="D252" s="472"/>
      <c r="E252" s="71">
        <v>217986</v>
      </c>
      <c r="J252" s="71" t="s">
        <v>798</v>
      </c>
      <c r="K252" s="71" t="s">
        <v>798</v>
      </c>
      <c r="L252" s="71" t="s">
        <v>798</v>
      </c>
      <c r="N252" s="71">
        <v>19.9964408874512</v>
      </c>
      <c r="O252" s="420">
        <v>92.951683044433594</v>
      </c>
      <c r="R252" s="426"/>
      <c r="S252" s="427"/>
      <c r="T252" s="105"/>
      <c r="U252" s="101"/>
      <c r="W252" s="419"/>
      <c r="X252" s="542"/>
      <c r="Y252" s="542"/>
      <c r="Z252" s="542"/>
    </row>
    <row r="253" spans="1:26" s="71" customFormat="1" ht="14.25" customHeight="1">
      <c r="A253" s="423" t="s">
        <v>2707</v>
      </c>
      <c r="B253" s="420" t="s">
        <v>406</v>
      </c>
      <c r="C253" s="420" t="s">
        <v>2602</v>
      </c>
      <c r="D253" s="472" t="s">
        <v>1654</v>
      </c>
      <c r="E253" s="71">
        <v>197451</v>
      </c>
      <c r="J253" s="71" t="s">
        <v>798</v>
      </c>
      <c r="K253" s="71" t="s">
        <v>798</v>
      </c>
      <c r="L253" s="194" t="s">
        <v>798</v>
      </c>
      <c r="M253" s="71" t="s">
        <v>298</v>
      </c>
      <c r="Q253" s="419"/>
      <c r="R253" s="422"/>
      <c r="S253" s="100"/>
      <c r="T253" s="442"/>
      <c r="U253" s="101"/>
      <c r="W253" s="419"/>
      <c r="X253" s="542"/>
      <c r="Y253" s="542"/>
      <c r="Z253" s="542"/>
    </row>
    <row r="254" spans="1:26" s="71" customFormat="1" ht="14.25" customHeight="1">
      <c r="A254" s="423" t="s">
        <v>2707</v>
      </c>
      <c r="B254" s="420" t="s">
        <v>406</v>
      </c>
      <c r="C254" s="420" t="s">
        <v>2579</v>
      </c>
      <c r="D254" s="472"/>
      <c r="F254" s="420"/>
      <c r="J254" s="71" t="s">
        <v>798</v>
      </c>
      <c r="K254" s="419" t="s">
        <v>798</v>
      </c>
      <c r="L254" s="419" t="s">
        <v>798</v>
      </c>
      <c r="R254" s="426"/>
      <c r="S254" s="427"/>
      <c r="T254" s="105"/>
      <c r="U254" s="101"/>
      <c r="W254" s="419"/>
      <c r="X254" s="542"/>
      <c r="Y254" s="542"/>
      <c r="Z254" s="542"/>
    </row>
    <row r="255" spans="1:26" s="71" customFormat="1" ht="14.25" customHeight="1">
      <c r="A255" s="423" t="s">
        <v>2707</v>
      </c>
      <c r="B255" s="420" t="s">
        <v>406</v>
      </c>
      <c r="C255" s="420" t="s">
        <v>2580</v>
      </c>
      <c r="D255" s="472"/>
      <c r="E255" s="419"/>
      <c r="F255" s="420"/>
      <c r="J255" s="71" t="s">
        <v>798</v>
      </c>
      <c r="K255" s="419" t="s">
        <v>798</v>
      </c>
      <c r="L255" s="419" t="s">
        <v>798</v>
      </c>
      <c r="R255" s="426"/>
      <c r="S255" s="427"/>
      <c r="T255" s="105"/>
      <c r="U255" s="101"/>
      <c r="W255" s="419"/>
      <c r="X255" s="542"/>
      <c r="Y255" s="542"/>
      <c r="Z255" s="542"/>
    </row>
    <row r="256" spans="1:26" s="71" customFormat="1" ht="14.25" customHeight="1">
      <c r="A256" s="423" t="s">
        <v>2707</v>
      </c>
      <c r="B256" s="420" t="s">
        <v>406</v>
      </c>
      <c r="C256" s="420" t="s">
        <v>2584</v>
      </c>
      <c r="D256" s="472"/>
      <c r="E256" s="71">
        <v>197543</v>
      </c>
      <c r="F256" s="71" t="s">
        <v>525</v>
      </c>
      <c r="J256" s="71" t="s">
        <v>798</v>
      </c>
      <c r="K256" s="419" t="s">
        <v>798</v>
      </c>
      <c r="L256" s="419" t="s">
        <v>798</v>
      </c>
      <c r="N256" s="71">
        <v>19.9403591156006</v>
      </c>
      <c r="O256" s="71">
        <v>93.009452819824205</v>
      </c>
      <c r="R256" s="426"/>
      <c r="S256" s="427"/>
      <c r="T256" s="105"/>
      <c r="U256" s="101"/>
      <c r="W256" s="419"/>
      <c r="X256" s="542"/>
      <c r="Y256" s="542"/>
      <c r="Z256" s="542"/>
    </row>
    <row r="257" spans="1:26" s="71" customFormat="1" ht="14.25" customHeight="1">
      <c r="A257" s="423" t="s">
        <v>2707</v>
      </c>
      <c r="B257" s="420" t="s">
        <v>406</v>
      </c>
      <c r="C257" s="420" t="s">
        <v>2582</v>
      </c>
      <c r="D257" s="472"/>
      <c r="E257" s="419">
        <v>197574</v>
      </c>
      <c r="F257" s="71" t="s">
        <v>2757</v>
      </c>
      <c r="J257" s="71" t="s">
        <v>798</v>
      </c>
      <c r="K257" s="71" t="s">
        <v>798</v>
      </c>
      <c r="L257" s="71" t="s">
        <v>798</v>
      </c>
      <c r="N257" s="71">
        <v>20.068620681762699</v>
      </c>
      <c r="O257" s="71">
        <v>92.934440612792997</v>
      </c>
      <c r="R257" s="426"/>
      <c r="S257" s="427"/>
      <c r="T257" s="105"/>
      <c r="U257" s="101"/>
      <c r="W257" s="419"/>
      <c r="X257" s="542"/>
      <c r="Y257" s="542"/>
      <c r="Z257" s="542"/>
    </row>
    <row r="258" spans="1:26" s="71" customFormat="1" ht="14.25" customHeight="1">
      <c r="A258" s="423" t="s">
        <v>2707</v>
      </c>
      <c r="B258" s="420" t="s">
        <v>406</v>
      </c>
      <c r="C258" s="420" t="s">
        <v>2600</v>
      </c>
      <c r="D258" s="421" t="s">
        <v>1654</v>
      </c>
      <c r="E258" s="429">
        <v>197447</v>
      </c>
      <c r="F258" s="429"/>
      <c r="G258" s="429"/>
      <c r="H258" s="429"/>
      <c r="I258" s="429"/>
      <c r="J258" s="71" t="s">
        <v>798</v>
      </c>
      <c r="K258" s="419" t="s">
        <v>798</v>
      </c>
      <c r="L258" s="194" t="s">
        <v>798</v>
      </c>
      <c r="M258" s="71" t="s">
        <v>298</v>
      </c>
      <c r="R258" s="420"/>
      <c r="S258" s="420"/>
      <c r="T258" s="105"/>
      <c r="U258" s="101"/>
      <c r="W258" s="419"/>
      <c r="X258" s="542"/>
      <c r="Y258" s="542"/>
      <c r="Z258" s="542"/>
    </row>
    <row r="259" spans="1:26" s="71" customFormat="1" ht="14.25" customHeight="1">
      <c r="A259" s="423" t="s">
        <v>2707</v>
      </c>
      <c r="B259" s="426" t="s">
        <v>456</v>
      </c>
      <c r="C259" s="427" t="s">
        <v>2791</v>
      </c>
      <c r="D259" s="421"/>
      <c r="E259" s="419">
        <v>196217</v>
      </c>
      <c r="F259" s="419"/>
      <c r="J259" s="71" t="s">
        <v>2715</v>
      </c>
      <c r="K259" s="419" t="s">
        <v>2677</v>
      </c>
      <c r="L259" s="419" t="s">
        <v>2677</v>
      </c>
      <c r="N259" s="71">
        <v>20.643140792846701</v>
      </c>
      <c r="O259" s="71">
        <v>92.851875305175795</v>
      </c>
      <c r="R259" s="430"/>
      <c r="S259" s="423"/>
      <c r="T259" s="105">
        <v>43591</v>
      </c>
      <c r="U259" s="430"/>
      <c r="W259" s="422"/>
      <c r="X259" s="542"/>
      <c r="Y259" s="542"/>
      <c r="Z259" s="542"/>
    </row>
    <row r="260" spans="1:26" s="71" customFormat="1" ht="14.25" customHeight="1">
      <c r="A260" s="426" t="s">
        <v>2707</v>
      </c>
      <c r="B260" s="426" t="s">
        <v>456</v>
      </c>
      <c r="C260" s="427" t="s">
        <v>2874</v>
      </c>
      <c r="D260" s="421"/>
      <c r="E260" s="419">
        <v>196309</v>
      </c>
      <c r="J260" s="71" t="s">
        <v>2715</v>
      </c>
      <c r="K260" s="419" t="s">
        <v>2677</v>
      </c>
      <c r="L260" s="419" t="s">
        <v>2677</v>
      </c>
      <c r="N260" s="419">
        <v>20.623949050903299</v>
      </c>
      <c r="O260" s="419">
        <v>92.950813293457003</v>
      </c>
      <c r="R260" s="430"/>
      <c r="S260" s="100"/>
      <c r="T260" s="105">
        <v>43591</v>
      </c>
      <c r="U260" s="430"/>
      <c r="V260" s="71" t="s">
        <v>2826</v>
      </c>
      <c r="W260" s="422"/>
      <c r="X260" s="542"/>
      <c r="Y260" s="542"/>
      <c r="Z260" s="542"/>
    </row>
    <row r="261" spans="1:26" s="71" customFormat="1" ht="14.25" customHeight="1">
      <c r="A261" s="426" t="s">
        <v>2707</v>
      </c>
      <c r="B261" s="426" t="s">
        <v>456</v>
      </c>
      <c r="C261" s="427" t="s">
        <v>2825</v>
      </c>
      <c r="D261" s="421"/>
      <c r="J261" s="71" t="s">
        <v>2715</v>
      </c>
      <c r="K261" s="419" t="s">
        <v>2677</v>
      </c>
      <c r="L261" s="419" t="s">
        <v>2677</v>
      </c>
      <c r="O261" s="419"/>
      <c r="R261" s="430"/>
      <c r="S261" s="423"/>
      <c r="T261" s="105">
        <v>43591</v>
      </c>
      <c r="U261" s="430"/>
      <c r="W261" s="422"/>
      <c r="X261" s="542"/>
      <c r="Y261" s="542"/>
      <c r="Z261" s="542"/>
    </row>
    <row r="262" spans="1:26" s="71" customFormat="1" ht="14.25" customHeight="1">
      <c r="A262" s="426" t="s">
        <v>2707</v>
      </c>
      <c r="B262" s="426" t="s">
        <v>456</v>
      </c>
      <c r="C262" s="427" t="s">
        <v>2829</v>
      </c>
      <c r="D262" s="421"/>
      <c r="E262" s="71">
        <v>196329</v>
      </c>
      <c r="J262" s="71" t="s">
        <v>2715</v>
      </c>
      <c r="K262" s="71" t="s">
        <v>2677</v>
      </c>
      <c r="L262" s="71" t="s">
        <v>2677</v>
      </c>
      <c r="N262" s="71">
        <v>20.5511798858643</v>
      </c>
      <c r="O262" s="71">
        <v>93.065322875976605</v>
      </c>
      <c r="R262" s="430"/>
      <c r="S262" s="423"/>
      <c r="T262" s="105">
        <v>43591</v>
      </c>
      <c r="U262" s="430"/>
      <c r="W262" s="422"/>
      <c r="X262" s="542"/>
      <c r="Y262" s="542"/>
      <c r="Z262" s="542"/>
    </row>
    <row r="263" spans="1:26" s="71" customFormat="1" ht="14.25" customHeight="1">
      <c r="A263" s="423" t="s">
        <v>2707</v>
      </c>
      <c r="B263" s="420" t="s">
        <v>456</v>
      </c>
      <c r="C263" s="420" t="s">
        <v>488</v>
      </c>
      <c r="D263" s="472" t="s">
        <v>1654</v>
      </c>
      <c r="E263" s="71">
        <v>196350</v>
      </c>
      <c r="F263" s="420"/>
      <c r="J263" s="71" t="s">
        <v>798</v>
      </c>
      <c r="K263" s="420" t="s">
        <v>798</v>
      </c>
      <c r="L263" s="420" t="s">
        <v>798</v>
      </c>
      <c r="M263" s="71" t="s">
        <v>795</v>
      </c>
      <c r="N263" s="71">
        <v>20.494340900000001</v>
      </c>
      <c r="O263" s="71">
        <v>93.054298399999993</v>
      </c>
      <c r="P263" s="71" t="s">
        <v>799</v>
      </c>
      <c r="Q263" s="71" t="s">
        <v>780</v>
      </c>
      <c r="R263" s="422"/>
      <c r="S263" s="100"/>
      <c r="T263" s="105"/>
      <c r="U263" s="101"/>
      <c r="V263" s="71" t="s">
        <v>901</v>
      </c>
      <c r="W263" s="422"/>
      <c r="X263" s="542"/>
      <c r="Y263" s="542"/>
      <c r="Z263" s="542"/>
    </row>
    <row r="264" spans="1:26" s="71" customFormat="1" ht="14.25" customHeight="1">
      <c r="A264" s="426" t="s">
        <v>2707</v>
      </c>
      <c r="B264" s="426" t="s">
        <v>456</v>
      </c>
      <c r="C264" s="427" t="s">
        <v>2822</v>
      </c>
      <c r="D264" s="421"/>
      <c r="E264" s="71">
        <v>196218</v>
      </c>
      <c r="J264" s="71" t="s">
        <v>2715</v>
      </c>
      <c r="K264" s="419" t="s">
        <v>2677</v>
      </c>
      <c r="L264" s="419" t="s">
        <v>2677</v>
      </c>
      <c r="N264" s="71">
        <v>20.709392547607401</v>
      </c>
      <c r="O264" s="419">
        <v>92.815086364746094</v>
      </c>
      <c r="R264" s="430"/>
      <c r="S264" s="100"/>
      <c r="T264" s="105">
        <v>43591</v>
      </c>
      <c r="U264" s="430"/>
      <c r="W264" s="422"/>
      <c r="X264" s="542"/>
      <c r="Y264" s="542"/>
      <c r="Z264" s="542"/>
    </row>
    <row r="265" spans="1:26" s="71" customFormat="1" ht="14.25" customHeight="1">
      <c r="A265" s="423" t="s">
        <v>2707</v>
      </c>
      <c r="B265" s="420" t="s">
        <v>456</v>
      </c>
      <c r="C265" s="420" t="s">
        <v>512</v>
      </c>
      <c r="D265" s="472" t="s">
        <v>1654</v>
      </c>
      <c r="E265" s="71">
        <v>196318</v>
      </c>
      <c r="F265" s="445" t="s">
        <v>512</v>
      </c>
      <c r="J265" s="71" t="s">
        <v>798</v>
      </c>
      <c r="K265" s="420" t="s">
        <v>798</v>
      </c>
      <c r="L265" s="420" t="s">
        <v>798</v>
      </c>
      <c r="M265" s="71" t="s">
        <v>795</v>
      </c>
      <c r="N265" s="71">
        <v>20.608819960000002</v>
      </c>
      <c r="O265" s="71">
        <v>93.022407529999995</v>
      </c>
      <c r="P265" s="71" t="s">
        <v>799</v>
      </c>
      <c r="Q265" s="71" t="s">
        <v>780</v>
      </c>
      <c r="R265" s="422"/>
      <c r="S265" s="423"/>
      <c r="T265" s="105"/>
      <c r="U265" s="101"/>
      <c r="V265" s="71" t="s">
        <v>916</v>
      </c>
      <c r="W265" s="422"/>
      <c r="X265" s="542"/>
      <c r="Y265" s="542"/>
      <c r="Z265" s="542"/>
    </row>
    <row r="266" spans="1:26" s="71" customFormat="1" ht="14.25" customHeight="1">
      <c r="A266" s="426" t="s">
        <v>2707</v>
      </c>
      <c r="B266" s="426" t="s">
        <v>456</v>
      </c>
      <c r="C266" s="427" t="s">
        <v>2823</v>
      </c>
      <c r="D266" s="421"/>
      <c r="E266" s="71">
        <v>196403</v>
      </c>
      <c r="J266" s="71" t="s">
        <v>2715</v>
      </c>
      <c r="K266" s="419" t="s">
        <v>2677</v>
      </c>
      <c r="L266" s="419" t="s">
        <v>2677</v>
      </c>
      <c r="N266" s="71">
        <v>20.303350448608398</v>
      </c>
      <c r="O266" s="71">
        <v>92.927062988281307</v>
      </c>
      <c r="R266" s="430"/>
      <c r="S266" s="423"/>
      <c r="T266" s="105">
        <v>43591</v>
      </c>
      <c r="U266" s="430"/>
      <c r="W266" s="422"/>
      <c r="X266" s="542"/>
      <c r="Y266" s="542"/>
      <c r="Z266" s="542"/>
    </row>
    <row r="267" spans="1:26" s="71" customFormat="1" ht="14.25" customHeight="1">
      <c r="A267" s="423" t="s">
        <v>2707</v>
      </c>
      <c r="B267" s="420" t="s">
        <v>456</v>
      </c>
      <c r="C267" s="420" t="s">
        <v>885</v>
      </c>
      <c r="D267" s="472" t="s">
        <v>1654</v>
      </c>
      <c r="E267" s="419">
        <v>196357</v>
      </c>
      <c r="F267" s="419" t="s">
        <v>885</v>
      </c>
      <c r="G267" s="419"/>
      <c r="H267" s="419"/>
      <c r="J267" s="71" t="s">
        <v>798</v>
      </c>
      <c r="K267" s="420" t="s">
        <v>798</v>
      </c>
      <c r="L267" s="420" t="s">
        <v>798</v>
      </c>
      <c r="M267" s="71" t="s">
        <v>298</v>
      </c>
      <c r="N267" s="419">
        <v>20.369959999999999</v>
      </c>
      <c r="O267" s="419">
        <v>93.019220000000004</v>
      </c>
      <c r="P267" s="419" t="s">
        <v>799</v>
      </c>
      <c r="R267" s="422"/>
      <c r="S267" s="423"/>
      <c r="T267" s="105"/>
      <c r="U267" s="424"/>
      <c r="V267" s="419" t="s">
        <v>885</v>
      </c>
      <c r="W267" s="422"/>
      <c r="X267" s="542"/>
      <c r="Y267" s="542"/>
      <c r="Z267" s="542"/>
    </row>
    <row r="268" spans="1:26" s="71" customFormat="1" ht="14.25" customHeight="1">
      <c r="A268" s="423" t="s">
        <v>2707</v>
      </c>
      <c r="B268" s="420" t="s">
        <v>456</v>
      </c>
      <c r="C268" s="420" t="s">
        <v>513</v>
      </c>
      <c r="D268" s="472" t="s">
        <v>1654</v>
      </c>
      <c r="E268" s="71">
        <v>196316</v>
      </c>
      <c r="J268" s="71" t="s">
        <v>798</v>
      </c>
      <c r="K268" s="420" t="s">
        <v>798</v>
      </c>
      <c r="L268" s="420" t="s">
        <v>798</v>
      </c>
      <c r="M268" s="71" t="s">
        <v>298</v>
      </c>
      <c r="N268" s="71">
        <v>20.630609509999999</v>
      </c>
      <c r="O268" s="71">
        <v>92.998641969999994</v>
      </c>
      <c r="P268" s="71" t="s">
        <v>799</v>
      </c>
      <c r="Q268" s="71" t="s">
        <v>780</v>
      </c>
      <c r="R268" s="422"/>
      <c r="S268" s="423"/>
      <c r="T268" s="105"/>
      <c r="U268" s="101"/>
      <c r="V268" s="71" t="s">
        <v>918</v>
      </c>
      <c r="W268" s="422"/>
      <c r="X268" s="542"/>
      <c r="Y268" s="542"/>
      <c r="Z268" s="542"/>
    </row>
    <row r="269" spans="1:26" s="71" customFormat="1" ht="14.25" customHeight="1">
      <c r="A269" s="426" t="s">
        <v>2707</v>
      </c>
      <c r="B269" s="426" t="s">
        <v>456</v>
      </c>
      <c r="C269" s="427" t="s">
        <v>2827</v>
      </c>
      <c r="D269" s="421"/>
      <c r="E269" s="71">
        <v>196317</v>
      </c>
      <c r="F269" s="419"/>
      <c r="J269" s="71" t="s">
        <v>2715</v>
      </c>
      <c r="K269" s="419" t="s">
        <v>2677</v>
      </c>
      <c r="L269" s="419" t="s">
        <v>2677</v>
      </c>
      <c r="N269" s="71">
        <v>20.616569519043001</v>
      </c>
      <c r="O269" s="71">
        <v>92.991638183593807</v>
      </c>
      <c r="R269" s="430"/>
      <c r="S269" s="100"/>
      <c r="T269" s="105">
        <v>43591</v>
      </c>
      <c r="U269" s="430"/>
      <c r="W269" s="422"/>
      <c r="X269" s="542"/>
      <c r="Y269" s="542"/>
      <c r="Z269" s="542"/>
    </row>
    <row r="270" spans="1:26" s="71" customFormat="1" ht="14.25" customHeight="1">
      <c r="A270" s="423" t="s">
        <v>2707</v>
      </c>
      <c r="B270" s="420" t="s">
        <v>456</v>
      </c>
      <c r="C270" s="420" t="s">
        <v>519</v>
      </c>
      <c r="D270" s="472" t="s">
        <v>1654</v>
      </c>
      <c r="E270" s="71">
        <v>196313</v>
      </c>
      <c r="F270" s="71" t="s">
        <v>514</v>
      </c>
      <c r="J270" s="71" t="s">
        <v>798</v>
      </c>
      <c r="K270" s="71" t="s">
        <v>798</v>
      </c>
      <c r="L270" s="71" t="s">
        <v>798</v>
      </c>
      <c r="M270" s="71" t="s">
        <v>298</v>
      </c>
      <c r="N270" s="71">
        <v>20.645240780000002</v>
      </c>
      <c r="O270" s="71">
        <v>92.939758299999994</v>
      </c>
      <c r="P270" s="71" t="s">
        <v>799</v>
      </c>
      <c r="Q270" s="71" t="s">
        <v>780</v>
      </c>
      <c r="R270" s="422"/>
      <c r="S270" s="100"/>
      <c r="T270" s="105"/>
      <c r="U270" s="101"/>
      <c r="V270" s="71" t="s">
        <v>519</v>
      </c>
      <c r="W270" s="422"/>
      <c r="X270" s="542"/>
      <c r="Y270" s="542"/>
      <c r="Z270" s="542"/>
    </row>
    <row r="271" spans="1:26" s="71" customFormat="1" ht="14.25" customHeight="1">
      <c r="A271" s="423" t="s">
        <v>2707</v>
      </c>
      <c r="B271" s="420" t="s">
        <v>456</v>
      </c>
      <c r="C271" s="420" t="s">
        <v>882</v>
      </c>
      <c r="D271" s="472" t="s">
        <v>1654</v>
      </c>
      <c r="E271" s="71">
        <v>196401</v>
      </c>
      <c r="J271" s="71" t="s">
        <v>798</v>
      </c>
      <c r="K271" s="419" t="s">
        <v>798</v>
      </c>
      <c r="L271" s="419" t="s">
        <v>798</v>
      </c>
      <c r="M271" s="71" t="s">
        <v>298</v>
      </c>
      <c r="N271" s="71">
        <v>20.327500000000001</v>
      </c>
      <c r="O271" s="71">
        <v>92.8947</v>
      </c>
      <c r="P271" s="71" t="s">
        <v>799</v>
      </c>
      <c r="R271" s="422"/>
      <c r="S271" s="100"/>
      <c r="T271" s="105"/>
      <c r="U271" s="101"/>
      <c r="V271" s="71" t="s">
        <v>882</v>
      </c>
      <c r="W271" s="422"/>
      <c r="X271" s="542"/>
      <c r="Y271" s="542"/>
      <c r="Z271" s="542"/>
    </row>
    <row r="272" spans="1:26" s="71" customFormat="1" ht="14.25" customHeight="1">
      <c r="A272" s="423" t="s">
        <v>2707</v>
      </c>
      <c r="B272" s="420" t="s">
        <v>456</v>
      </c>
      <c r="C272" s="420" t="s">
        <v>485</v>
      </c>
      <c r="D272" s="472" t="s">
        <v>1654</v>
      </c>
      <c r="E272" s="419">
        <v>196349</v>
      </c>
      <c r="F272" s="419"/>
      <c r="J272" s="71" t="s">
        <v>798</v>
      </c>
      <c r="K272" s="71" t="s">
        <v>798</v>
      </c>
      <c r="L272" s="71" t="s">
        <v>798</v>
      </c>
      <c r="M272" s="71" t="s">
        <v>298</v>
      </c>
      <c r="N272" s="71">
        <v>20.482030869999999</v>
      </c>
      <c r="O272" s="420">
        <v>93.045410160000003</v>
      </c>
      <c r="P272" s="71" t="s">
        <v>799</v>
      </c>
      <c r="Q272" s="71" t="s">
        <v>780</v>
      </c>
      <c r="R272" s="422"/>
      <c r="S272" s="100"/>
      <c r="T272" s="105"/>
      <c r="U272" s="101"/>
      <c r="V272" s="71" t="s">
        <v>485</v>
      </c>
      <c r="W272" s="422"/>
      <c r="X272" s="542"/>
      <c r="Y272" s="542"/>
      <c r="Z272" s="542"/>
    </row>
    <row r="273" spans="1:26" s="71" customFormat="1" ht="14.25" customHeight="1">
      <c r="A273" s="423" t="s">
        <v>2707</v>
      </c>
      <c r="B273" s="420" t="s">
        <v>456</v>
      </c>
      <c r="C273" s="420" t="s">
        <v>881</v>
      </c>
      <c r="D273" s="472" t="s">
        <v>1654</v>
      </c>
      <c r="E273" s="71">
        <v>196375</v>
      </c>
      <c r="F273" s="419" t="s">
        <v>881</v>
      </c>
      <c r="J273" s="71" t="s">
        <v>798</v>
      </c>
      <c r="K273" s="71" t="s">
        <v>798</v>
      </c>
      <c r="L273" s="71" t="s">
        <v>798</v>
      </c>
      <c r="M273" s="71" t="s">
        <v>298</v>
      </c>
      <c r="N273" s="71">
        <v>20.308</v>
      </c>
      <c r="O273" s="71">
        <v>93.01</v>
      </c>
      <c r="P273" s="71" t="s">
        <v>799</v>
      </c>
      <c r="R273" s="422"/>
      <c r="S273" s="100"/>
      <c r="T273" s="105"/>
      <c r="U273" s="101"/>
      <c r="V273" s="71" t="s">
        <v>881</v>
      </c>
      <c r="W273" s="422"/>
      <c r="X273" s="542"/>
      <c r="Y273" s="542"/>
      <c r="Z273" s="542"/>
    </row>
    <row r="274" spans="1:26" s="71" customFormat="1" ht="14.25" customHeight="1">
      <c r="A274" s="426" t="s">
        <v>2707</v>
      </c>
      <c r="B274" s="426" t="s">
        <v>456</v>
      </c>
      <c r="C274" s="427" t="s">
        <v>2828</v>
      </c>
      <c r="D274" s="421"/>
      <c r="E274" s="71">
        <v>196315</v>
      </c>
      <c r="J274" s="71" t="s">
        <v>2715</v>
      </c>
      <c r="K274" s="419" t="s">
        <v>2677</v>
      </c>
      <c r="L274" s="71" t="s">
        <v>2677</v>
      </c>
      <c r="N274" s="71">
        <v>20.622760772705099</v>
      </c>
      <c r="O274" s="71">
        <v>92.954826354980497</v>
      </c>
      <c r="R274" s="430"/>
      <c r="S274" s="423"/>
      <c r="T274" s="105">
        <v>43591</v>
      </c>
      <c r="U274" s="430"/>
      <c r="V274" s="419"/>
      <c r="W274" s="422"/>
      <c r="X274" s="542"/>
      <c r="Y274" s="542"/>
      <c r="Z274" s="542"/>
    </row>
    <row r="275" spans="1:26" s="71" customFormat="1" ht="14.25" customHeight="1">
      <c r="A275" s="423" t="s">
        <v>2707</v>
      </c>
      <c r="B275" s="420" t="s">
        <v>456</v>
      </c>
      <c r="C275" s="420" t="s">
        <v>514</v>
      </c>
      <c r="D275" s="472" t="s">
        <v>1654</v>
      </c>
      <c r="E275" s="419">
        <v>196312</v>
      </c>
      <c r="F275" s="420"/>
      <c r="J275" s="71" t="s">
        <v>798</v>
      </c>
      <c r="K275" s="419" t="s">
        <v>798</v>
      </c>
      <c r="L275" s="71" t="s">
        <v>798</v>
      </c>
      <c r="M275" s="71" t="s">
        <v>298</v>
      </c>
      <c r="N275" s="419">
        <v>20.63272095</v>
      </c>
      <c r="O275" s="420">
        <v>92.940132140000003</v>
      </c>
      <c r="P275" s="71" t="s">
        <v>799</v>
      </c>
      <c r="Q275" s="71" t="s">
        <v>780</v>
      </c>
      <c r="R275" s="426"/>
      <c r="S275" s="427"/>
      <c r="T275" s="105"/>
      <c r="U275" s="101"/>
      <c r="V275" s="71" t="s">
        <v>919</v>
      </c>
      <c r="W275" s="422"/>
      <c r="X275" s="542"/>
      <c r="Y275" s="542"/>
      <c r="Z275" s="542"/>
    </row>
    <row r="276" spans="1:26" s="71" customFormat="1" ht="14.25" customHeight="1">
      <c r="A276" s="423" t="s">
        <v>2707</v>
      </c>
      <c r="B276" s="420" t="s">
        <v>456</v>
      </c>
      <c r="C276" s="420" t="s">
        <v>511</v>
      </c>
      <c r="D276" s="472" t="s">
        <v>1654</v>
      </c>
      <c r="E276" s="71">
        <v>196321</v>
      </c>
      <c r="F276" s="420"/>
      <c r="J276" s="71" t="s">
        <v>798</v>
      </c>
      <c r="K276" s="71" t="s">
        <v>798</v>
      </c>
      <c r="L276" s="71" t="s">
        <v>798</v>
      </c>
      <c r="M276" s="71" t="s">
        <v>298</v>
      </c>
      <c r="N276" s="71">
        <v>20.59627914</v>
      </c>
      <c r="O276" s="71">
        <v>92.987480160000004</v>
      </c>
      <c r="P276" s="71" t="s">
        <v>799</v>
      </c>
      <c r="Q276" s="71" t="s">
        <v>780</v>
      </c>
      <c r="R276" s="422"/>
      <c r="S276" s="423"/>
      <c r="T276" s="105"/>
      <c r="U276" s="101"/>
      <c r="V276" s="71" t="s">
        <v>511</v>
      </c>
      <c r="W276" s="422"/>
      <c r="X276" s="542"/>
      <c r="Y276" s="542"/>
      <c r="Z276" s="542"/>
    </row>
    <row r="277" spans="1:26" s="71" customFormat="1" ht="14.25" customHeight="1">
      <c r="A277" s="423" t="s">
        <v>2707</v>
      </c>
      <c r="B277" s="420" t="s">
        <v>456</v>
      </c>
      <c r="C277" s="420" t="s">
        <v>880</v>
      </c>
      <c r="D277" s="472" t="s">
        <v>1654</v>
      </c>
      <c r="E277" s="71">
        <v>196412</v>
      </c>
      <c r="F277" s="420" t="s">
        <v>880</v>
      </c>
      <c r="J277" s="71" t="s">
        <v>798</v>
      </c>
      <c r="K277" s="419" t="s">
        <v>798</v>
      </c>
      <c r="L277" s="71" t="s">
        <v>798</v>
      </c>
      <c r="M277" s="71" t="s">
        <v>298</v>
      </c>
      <c r="N277" s="71">
        <v>20.242139999999999</v>
      </c>
      <c r="O277" s="71">
        <v>92.921729999999997</v>
      </c>
      <c r="P277" s="71" t="s">
        <v>799</v>
      </c>
      <c r="R277" s="426"/>
      <c r="S277" s="427"/>
      <c r="T277" s="105"/>
      <c r="U277" s="101"/>
      <c r="V277" s="71" t="s">
        <v>880</v>
      </c>
      <c r="W277" s="422"/>
      <c r="X277" s="542"/>
      <c r="Y277" s="542"/>
      <c r="Z277" s="542"/>
    </row>
    <row r="278" spans="1:26" s="71" customFormat="1" ht="14.25" customHeight="1">
      <c r="A278" s="423" t="s">
        <v>2707</v>
      </c>
      <c r="B278" s="426" t="s">
        <v>456</v>
      </c>
      <c r="C278" s="427" t="s">
        <v>2876</v>
      </c>
      <c r="D278" s="421"/>
      <c r="E278" s="71">
        <v>196234</v>
      </c>
      <c r="J278" s="71" t="s">
        <v>2715</v>
      </c>
      <c r="K278" s="71" t="s">
        <v>2677</v>
      </c>
      <c r="L278" s="71" t="s">
        <v>2677</v>
      </c>
      <c r="N278" s="71">
        <v>20.580810546875</v>
      </c>
      <c r="O278" s="71">
        <v>92.869346618652301</v>
      </c>
      <c r="R278" s="430"/>
      <c r="S278" s="100"/>
      <c r="T278" s="105">
        <v>43591</v>
      </c>
      <c r="U278" s="430"/>
      <c r="V278" s="71" t="s">
        <v>2793</v>
      </c>
      <c r="W278" s="422"/>
      <c r="X278" s="542"/>
      <c r="Y278" s="542"/>
      <c r="Z278" s="542"/>
    </row>
    <row r="279" spans="1:26" s="71" customFormat="1" ht="14.25" customHeight="1">
      <c r="A279" s="423" t="s">
        <v>2707</v>
      </c>
      <c r="B279" s="420" t="s">
        <v>456</v>
      </c>
      <c r="C279" s="420" t="s">
        <v>457</v>
      </c>
      <c r="D279" s="472" t="s">
        <v>1654</v>
      </c>
      <c r="E279" s="419">
        <v>196408</v>
      </c>
      <c r="F279" s="420"/>
      <c r="G279" s="419"/>
      <c r="H279" s="419"/>
      <c r="I279" s="419"/>
      <c r="J279" s="419" t="s">
        <v>798</v>
      </c>
      <c r="K279" s="419" t="s">
        <v>798</v>
      </c>
      <c r="L279" s="419" t="s">
        <v>798</v>
      </c>
      <c r="M279" s="419" t="s">
        <v>298</v>
      </c>
      <c r="N279" s="419">
        <v>20.268000000000001</v>
      </c>
      <c r="O279" s="419">
        <v>92.977999999999994</v>
      </c>
      <c r="P279" s="419" t="s">
        <v>799</v>
      </c>
      <c r="Q279" s="419" t="s">
        <v>780</v>
      </c>
      <c r="R279" s="422"/>
      <c r="S279" s="423"/>
      <c r="T279" s="442"/>
      <c r="U279" s="424"/>
      <c r="V279" s="419" t="s">
        <v>457</v>
      </c>
      <c r="W279" s="422"/>
      <c r="X279" s="542"/>
      <c r="Y279" s="542"/>
      <c r="Z279" s="542"/>
    </row>
    <row r="280" spans="1:26" s="71" customFormat="1" ht="14.25" customHeight="1">
      <c r="A280" s="423" t="s">
        <v>2707</v>
      </c>
      <c r="B280" s="426" t="s">
        <v>456</v>
      </c>
      <c r="C280" s="427" t="s">
        <v>460</v>
      </c>
      <c r="D280" s="421" t="s">
        <v>1654</v>
      </c>
      <c r="E280" s="71">
        <v>196377</v>
      </c>
      <c r="J280" s="71" t="s">
        <v>798</v>
      </c>
      <c r="K280" s="71" t="s">
        <v>798</v>
      </c>
      <c r="L280" s="71" t="s">
        <v>798</v>
      </c>
      <c r="M280" s="71" t="s">
        <v>298</v>
      </c>
      <c r="N280" s="71">
        <v>20.292100000000001</v>
      </c>
      <c r="O280" s="71">
        <v>92.994100000000003</v>
      </c>
      <c r="P280" s="71" t="s">
        <v>799</v>
      </c>
      <c r="Q280" s="71" t="s">
        <v>780</v>
      </c>
      <c r="R280" s="430"/>
      <c r="S280" s="423"/>
      <c r="T280" s="105"/>
      <c r="U280" s="101"/>
      <c r="V280" s="71" t="s">
        <v>460</v>
      </c>
      <c r="W280" s="422"/>
      <c r="X280" s="542"/>
      <c r="Y280" s="542"/>
      <c r="Z280" s="542"/>
    </row>
    <row r="281" spans="1:26" s="71" customFormat="1" ht="14.25" customHeight="1">
      <c r="A281" s="423" t="s">
        <v>2707</v>
      </c>
      <c r="B281" s="420" t="s">
        <v>456</v>
      </c>
      <c r="C281" s="420" t="s">
        <v>491</v>
      </c>
      <c r="D281" s="472" t="s">
        <v>1654</v>
      </c>
      <c r="E281" s="71">
        <v>196337</v>
      </c>
      <c r="J281" s="71" t="s">
        <v>798</v>
      </c>
      <c r="K281" s="419" t="s">
        <v>798</v>
      </c>
      <c r="L281" s="419" t="s">
        <v>798</v>
      </c>
      <c r="M281" s="71" t="s">
        <v>298</v>
      </c>
      <c r="N281" s="71">
        <v>20.509660719999999</v>
      </c>
      <c r="O281" s="71">
        <v>92.997230529999996</v>
      </c>
      <c r="P281" s="71" t="s">
        <v>799</v>
      </c>
      <c r="Q281" s="71" t="s">
        <v>780</v>
      </c>
      <c r="R281" s="422"/>
      <c r="S281" s="423"/>
      <c r="T281" s="105"/>
      <c r="U281" s="101"/>
      <c r="V281" s="71" t="s">
        <v>491</v>
      </c>
      <c r="W281" s="422"/>
      <c r="X281" s="542"/>
      <c r="Y281" s="542"/>
      <c r="Z281" s="542"/>
    </row>
    <row r="282" spans="1:26" s="71" customFormat="1" ht="14.25" customHeight="1">
      <c r="A282" s="426" t="s">
        <v>2707</v>
      </c>
      <c r="B282" s="426" t="s">
        <v>456</v>
      </c>
      <c r="C282" s="427" t="s">
        <v>1733</v>
      </c>
      <c r="D282" s="421"/>
      <c r="E282" s="71">
        <v>196369</v>
      </c>
      <c r="J282" s="71" t="s">
        <v>2715</v>
      </c>
      <c r="K282" s="71" t="s">
        <v>2677</v>
      </c>
      <c r="L282" s="71" t="s">
        <v>2677</v>
      </c>
      <c r="N282" s="419">
        <v>20.337610244751001</v>
      </c>
      <c r="O282" s="419">
        <v>92.969711303710895</v>
      </c>
      <c r="R282" s="430"/>
      <c r="S282" s="100"/>
      <c r="T282" s="105">
        <v>43591</v>
      </c>
      <c r="U282" s="430"/>
      <c r="W282" s="422"/>
      <c r="X282" s="542"/>
      <c r="Y282" s="542"/>
      <c r="Z282" s="542"/>
    </row>
    <row r="283" spans="1:26" s="71" customFormat="1" ht="14.25" customHeight="1">
      <c r="A283" s="426" t="s">
        <v>2707</v>
      </c>
      <c r="B283" s="426" t="s">
        <v>456</v>
      </c>
      <c r="C283" s="427" t="s">
        <v>2824</v>
      </c>
      <c r="D283" s="421"/>
      <c r="E283" s="419">
        <v>196369</v>
      </c>
      <c r="J283" s="71" t="s">
        <v>2715</v>
      </c>
      <c r="K283" s="71" t="s">
        <v>2677</v>
      </c>
      <c r="L283" s="71" t="s">
        <v>2677</v>
      </c>
      <c r="N283" s="419">
        <v>20.337610244751001</v>
      </c>
      <c r="O283" s="419">
        <v>92.969711303710895</v>
      </c>
      <c r="R283" s="430"/>
      <c r="S283" s="100"/>
      <c r="T283" s="105">
        <v>43591</v>
      </c>
      <c r="U283" s="430"/>
      <c r="W283" s="422"/>
      <c r="X283" s="542"/>
      <c r="Y283" s="542"/>
      <c r="Z283" s="542"/>
    </row>
    <row r="284" spans="1:26" s="71" customFormat="1" ht="14.25" customHeight="1">
      <c r="A284" s="423" t="s">
        <v>2707</v>
      </c>
      <c r="B284" s="420" t="s">
        <v>456</v>
      </c>
      <c r="C284" s="420" t="s">
        <v>463</v>
      </c>
      <c r="D284" s="472" t="s">
        <v>1654</v>
      </c>
      <c r="E284" s="71">
        <v>196359</v>
      </c>
      <c r="F284" s="419" t="s">
        <v>463</v>
      </c>
      <c r="J284" s="71" t="s">
        <v>798</v>
      </c>
      <c r="K284" s="71" t="s">
        <v>798</v>
      </c>
      <c r="L284" s="71" t="s">
        <v>798</v>
      </c>
      <c r="M284" s="71" t="s">
        <v>298</v>
      </c>
      <c r="N284" s="419">
        <v>20.361530299999998</v>
      </c>
      <c r="O284" s="419">
        <v>92.992073059999996</v>
      </c>
      <c r="P284" s="71" t="s">
        <v>799</v>
      </c>
      <c r="Q284" s="71" t="s">
        <v>780</v>
      </c>
      <c r="R284" s="422"/>
      <c r="S284" s="423"/>
      <c r="T284" s="105"/>
      <c r="U284" s="101"/>
      <c r="V284" s="71" t="s">
        <v>463</v>
      </c>
      <c r="W284" s="422"/>
      <c r="X284" s="542"/>
      <c r="Y284" s="542"/>
      <c r="Z284" s="542"/>
    </row>
    <row r="285" spans="1:26" s="71" customFormat="1" ht="14.25" customHeight="1">
      <c r="A285" s="423" t="s">
        <v>2707</v>
      </c>
      <c r="B285" s="420" t="s">
        <v>456</v>
      </c>
      <c r="C285" s="420" t="s">
        <v>490</v>
      </c>
      <c r="D285" s="472" t="s">
        <v>1654</v>
      </c>
      <c r="E285" s="71">
        <v>196351</v>
      </c>
      <c r="F285" s="419"/>
      <c r="J285" s="71" t="s">
        <v>798</v>
      </c>
      <c r="K285" s="419" t="s">
        <v>798</v>
      </c>
      <c r="L285" s="419" t="s">
        <v>798</v>
      </c>
      <c r="M285" s="71" t="s">
        <v>298</v>
      </c>
      <c r="N285" s="419">
        <v>20.50658035</v>
      </c>
      <c r="O285" s="419">
        <v>93.0434494</v>
      </c>
      <c r="P285" s="71" t="s">
        <v>799</v>
      </c>
      <c r="Q285" s="71" t="s">
        <v>780</v>
      </c>
      <c r="R285" s="422"/>
      <c r="S285" s="423"/>
      <c r="T285" s="105"/>
      <c r="U285" s="101"/>
      <c r="V285" s="71" t="s">
        <v>490</v>
      </c>
      <c r="W285" s="422"/>
      <c r="X285" s="542"/>
      <c r="Y285" s="542"/>
      <c r="Z285" s="542"/>
    </row>
    <row r="286" spans="1:26" s="71" customFormat="1" ht="14.25" customHeight="1">
      <c r="A286" s="423" t="s">
        <v>2707</v>
      </c>
      <c r="B286" s="420" t="s">
        <v>456</v>
      </c>
      <c r="C286" s="420" t="s">
        <v>504</v>
      </c>
      <c r="D286" s="472" t="s">
        <v>1654</v>
      </c>
      <c r="E286" s="71">
        <v>196331</v>
      </c>
      <c r="F286" s="71" t="s">
        <v>504</v>
      </c>
      <c r="J286" s="71" t="s">
        <v>798</v>
      </c>
      <c r="K286" s="71" t="s">
        <v>798</v>
      </c>
      <c r="L286" s="71" t="s">
        <v>798</v>
      </c>
      <c r="M286" s="71" t="s">
        <v>298</v>
      </c>
      <c r="N286" s="419">
        <v>20.564739230000001</v>
      </c>
      <c r="O286" s="419">
        <v>93.064781190000005</v>
      </c>
      <c r="P286" s="71" t="s">
        <v>799</v>
      </c>
      <c r="Q286" s="71" t="s">
        <v>780</v>
      </c>
      <c r="R286" s="422"/>
      <c r="S286" s="423"/>
      <c r="T286" s="105"/>
      <c r="U286" s="101"/>
      <c r="V286" s="71" t="s">
        <v>504</v>
      </c>
      <c r="W286" s="422"/>
      <c r="X286" s="542"/>
      <c r="Y286" s="542"/>
      <c r="Z286" s="542"/>
    </row>
    <row r="287" spans="1:26" s="71" customFormat="1" ht="14.25" customHeight="1">
      <c r="A287" s="423" t="s">
        <v>2707</v>
      </c>
      <c r="B287" s="420" t="s">
        <v>456</v>
      </c>
      <c r="C287" s="420" t="s">
        <v>472</v>
      </c>
      <c r="D287" s="472" t="s">
        <v>1654</v>
      </c>
      <c r="E287" s="71">
        <v>196356</v>
      </c>
      <c r="J287" s="71" t="s">
        <v>798</v>
      </c>
      <c r="K287" s="71" t="s">
        <v>798</v>
      </c>
      <c r="L287" s="71" t="s">
        <v>798</v>
      </c>
      <c r="M287" s="71" t="s">
        <v>298</v>
      </c>
      <c r="N287" s="71">
        <v>20.424389999999999</v>
      </c>
      <c r="O287" s="71">
        <v>93.012960000000007</v>
      </c>
      <c r="P287" s="71" t="s">
        <v>799</v>
      </c>
      <c r="Q287" s="71" t="s">
        <v>780</v>
      </c>
      <c r="R287" s="422"/>
      <c r="S287" s="423"/>
      <c r="T287" s="105"/>
      <c r="U287" s="101"/>
      <c r="V287" s="71" t="s">
        <v>472</v>
      </c>
      <c r="W287" s="422"/>
      <c r="X287" s="542"/>
      <c r="Y287" s="542"/>
      <c r="Z287" s="542"/>
    </row>
    <row r="288" spans="1:26" s="71" customFormat="1" ht="14.25" customHeight="1">
      <c r="A288" s="423" t="s">
        <v>2707</v>
      </c>
      <c r="B288" s="426" t="s">
        <v>456</v>
      </c>
      <c r="C288" s="427" t="s">
        <v>2875</v>
      </c>
      <c r="D288" s="421"/>
      <c r="E288" s="71">
        <v>196302</v>
      </c>
      <c r="F288" s="419"/>
      <c r="J288" s="71" t="s">
        <v>2715</v>
      </c>
      <c r="K288" s="419" t="s">
        <v>2677</v>
      </c>
      <c r="L288" s="419" t="s">
        <v>2677</v>
      </c>
      <c r="N288" s="71">
        <v>20.5702304840088</v>
      </c>
      <c r="O288" s="71">
        <v>92.977378845214801</v>
      </c>
      <c r="R288" s="430"/>
      <c r="S288" s="423"/>
      <c r="T288" s="105">
        <v>43591</v>
      </c>
      <c r="U288" s="430"/>
      <c r="V288" s="518" t="s">
        <v>2792</v>
      </c>
      <c r="W288" s="422"/>
      <c r="X288" s="542"/>
      <c r="Y288" s="542"/>
      <c r="Z288" s="542"/>
    </row>
    <row r="289" spans="1:26" s="71" customFormat="1" ht="14.25" customHeight="1">
      <c r="A289" s="423" t="s">
        <v>2707</v>
      </c>
      <c r="B289" s="420" t="s">
        <v>358</v>
      </c>
      <c r="C289" s="420" t="s">
        <v>360</v>
      </c>
      <c r="D289" s="472" t="s">
        <v>1655</v>
      </c>
      <c r="E289" s="71" t="s">
        <v>1335</v>
      </c>
      <c r="F289" s="419" t="s">
        <v>1658</v>
      </c>
      <c r="G289" s="71" t="s">
        <v>1660</v>
      </c>
      <c r="H289" s="71" t="s">
        <v>42</v>
      </c>
      <c r="J289" s="71" t="s">
        <v>44</v>
      </c>
      <c r="K289" s="419" t="s">
        <v>44</v>
      </c>
      <c r="L289" s="419" t="s">
        <v>760</v>
      </c>
      <c r="M289" s="71" t="s">
        <v>298</v>
      </c>
      <c r="N289" s="71">
        <v>19.091054</v>
      </c>
      <c r="O289" s="71">
        <v>93.865170000000006</v>
      </c>
      <c r="P289" s="71" t="s">
        <v>761</v>
      </c>
      <c r="Q289" s="71" t="s">
        <v>780</v>
      </c>
      <c r="R289" s="422"/>
      <c r="S289" s="423"/>
      <c r="T289" s="105"/>
      <c r="U289" s="101"/>
      <c r="V289" s="71" t="s">
        <v>360</v>
      </c>
      <c r="W289" s="422"/>
      <c r="X289" s="542"/>
      <c r="Y289" s="542"/>
      <c r="Z289" s="542"/>
    </row>
    <row r="290" spans="1:26" s="71" customFormat="1" ht="14.25" customHeight="1">
      <c r="A290" s="423" t="s">
        <v>2707</v>
      </c>
      <c r="B290" s="420" t="s">
        <v>358</v>
      </c>
      <c r="C290" s="420" t="s">
        <v>359</v>
      </c>
      <c r="D290" s="472" t="s">
        <v>1655</v>
      </c>
      <c r="E290" s="71" t="s">
        <v>1334</v>
      </c>
      <c r="F290" s="71" t="s">
        <v>1658</v>
      </c>
      <c r="G290" s="71" t="s">
        <v>1659</v>
      </c>
      <c r="H290" s="71" t="s">
        <v>42</v>
      </c>
      <c r="J290" s="71" t="s">
        <v>44</v>
      </c>
      <c r="K290" s="71" t="s">
        <v>44</v>
      </c>
      <c r="L290" s="71" t="s">
        <v>760</v>
      </c>
      <c r="M290" s="71" t="s">
        <v>795</v>
      </c>
      <c r="N290" s="71">
        <v>19.088283000000001</v>
      </c>
      <c r="O290" s="71">
        <v>93.857592999999994</v>
      </c>
      <c r="P290" s="71" t="s">
        <v>761</v>
      </c>
      <c r="Q290" s="71" t="s">
        <v>780</v>
      </c>
      <c r="R290" s="422"/>
      <c r="S290" s="423"/>
      <c r="T290" s="105"/>
      <c r="U290" s="101" t="s">
        <v>1655</v>
      </c>
      <c r="V290" s="71" t="s">
        <v>796</v>
      </c>
      <c r="W290" s="422"/>
      <c r="X290" s="542"/>
      <c r="Y290" s="542"/>
      <c r="Z290" s="542"/>
    </row>
    <row r="291" spans="1:26" s="71" customFormat="1" ht="14.25" customHeight="1">
      <c r="A291" s="423" t="s">
        <v>2707</v>
      </c>
      <c r="B291" s="426" t="s">
        <v>299</v>
      </c>
      <c r="C291" s="427" t="s">
        <v>452</v>
      </c>
      <c r="D291" s="421" t="s">
        <v>1654</v>
      </c>
      <c r="E291" s="71">
        <v>196143</v>
      </c>
      <c r="F291" s="71" t="s">
        <v>1662</v>
      </c>
      <c r="J291" s="71" t="s">
        <v>798</v>
      </c>
      <c r="K291" s="71" t="s">
        <v>798</v>
      </c>
      <c r="L291" s="71" t="s">
        <v>798</v>
      </c>
      <c r="M291" s="71" t="s">
        <v>795</v>
      </c>
      <c r="N291" s="71">
        <v>20.235199999999999</v>
      </c>
      <c r="O291" s="71">
        <v>92.805000000000007</v>
      </c>
      <c r="P291" s="71" t="s">
        <v>799</v>
      </c>
      <c r="Q291" s="71" t="s">
        <v>780</v>
      </c>
      <c r="R291" s="430"/>
      <c r="S291" s="100"/>
      <c r="T291" s="105"/>
      <c r="U291" s="101"/>
      <c r="V291" s="71" t="s">
        <v>452</v>
      </c>
      <c r="W291" s="422"/>
      <c r="X291" s="542"/>
      <c r="Y291" s="542"/>
      <c r="Z291" s="542"/>
    </row>
    <row r="292" spans="1:26" s="71" customFormat="1" ht="14.25" customHeight="1">
      <c r="A292" s="423" t="s">
        <v>2707</v>
      </c>
      <c r="B292" s="426" t="s">
        <v>299</v>
      </c>
      <c r="C292" s="427" t="s">
        <v>1662</v>
      </c>
      <c r="D292" s="421" t="s">
        <v>1874</v>
      </c>
      <c r="E292" s="71">
        <v>196138</v>
      </c>
      <c r="J292" s="71" t="s">
        <v>798</v>
      </c>
      <c r="K292" s="71" t="s">
        <v>798</v>
      </c>
      <c r="L292" s="71" t="s">
        <v>798</v>
      </c>
      <c r="N292" s="71">
        <v>20.2351894378662</v>
      </c>
      <c r="O292" s="71">
        <v>92.790191650390597</v>
      </c>
      <c r="P292" s="71" t="s">
        <v>799</v>
      </c>
      <c r="R292" s="430"/>
      <c r="S292" s="100"/>
      <c r="T292" s="105"/>
      <c r="U292" s="101"/>
      <c r="W292" s="422"/>
      <c r="X292" s="542"/>
      <c r="Y292" s="542"/>
      <c r="Z292" s="542"/>
    </row>
    <row r="293" spans="1:26" s="71" customFormat="1" ht="14.25" customHeight="1">
      <c r="A293" s="423" t="s">
        <v>2707</v>
      </c>
      <c r="B293" s="426" t="s">
        <v>299</v>
      </c>
      <c r="C293" s="427" t="s">
        <v>453</v>
      </c>
      <c r="D293" s="421" t="s">
        <v>1654</v>
      </c>
      <c r="E293" s="71">
        <v>196152</v>
      </c>
      <c r="J293" s="71" t="s">
        <v>798</v>
      </c>
      <c r="K293" s="71" t="s">
        <v>798</v>
      </c>
      <c r="L293" s="71" t="s">
        <v>798</v>
      </c>
      <c r="M293" s="71" t="s">
        <v>298</v>
      </c>
      <c r="N293" s="71">
        <v>20.235199999999999</v>
      </c>
      <c r="O293" s="71">
        <v>92.790199999999999</v>
      </c>
      <c r="P293" s="71" t="s">
        <v>799</v>
      </c>
      <c r="Q293" s="71" t="s">
        <v>780</v>
      </c>
      <c r="R293" s="430"/>
      <c r="S293" s="100"/>
      <c r="T293" s="105"/>
      <c r="U293" s="101"/>
      <c r="V293" s="71" t="s">
        <v>453</v>
      </c>
      <c r="W293" s="422"/>
      <c r="X293" s="542"/>
      <c r="Y293" s="542"/>
      <c r="Z293" s="542"/>
    </row>
    <row r="294" spans="1:26" s="71" customFormat="1" ht="14.25" customHeight="1">
      <c r="A294" s="423" t="s">
        <v>2707</v>
      </c>
      <c r="B294" s="426" t="s">
        <v>299</v>
      </c>
      <c r="C294" s="427" t="s">
        <v>1879</v>
      </c>
      <c r="D294" s="421" t="s">
        <v>1874</v>
      </c>
      <c r="E294" s="419"/>
      <c r="F294" s="419"/>
      <c r="J294" s="71" t="s">
        <v>798</v>
      </c>
      <c r="K294" s="419" t="s">
        <v>798</v>
      </c>
      <c r="L294" s="419" t="s">
        <v>798</v>
      </c>
      <c r="O294" s="419"/>
      <c r="P294" s="71" t="s">
        <v>799</v>
      </c>
      <c r="R294" s="430"/>
      <c r="S294" s="423"/>
      <c r="T294" s="105"/>
      <c r="U294" s="101"/>
      <c r="W294" s="422"/>
      <c r="X294" s="542"/>
      <c r="Y294" s="542"/>
      <c r="Z294" s="542"/>
    </row>
    <row r="295" spans="1:26" s="71" customFormat="1" ht="14.25" customHeight="1">
      <c r="A295" s="423" t="s">
        <v>2707</v>
      </c>
      <c r="B295" s="426" t="s">
        <v>299</v>
      </c>
      <c r="C295" s="427" t="s">
        <v>417</v>
      </c>
      <c r="D295" s="421" t="s">
        <v>1654</v>
      </c>
      <c r="J295" s="71" t="s">
        <v>798</v>
      </c>
      <c r="K295" s="71" t="s">
        <v>798</v>
      </c>
      <c r="L295" s="71" t="s">
        <v>798</v>
      </c>
      <c r="M295" s="71" t="s">
        <v>795</v>
      </c>
      <c r="P295" s="71" t="s">
        <v>799</v>
      </c>
      <c r="Q295" s="71" t="s">
        <v>780</v>
      </c>
      <c r="R295" s="430"/>
      <c r="S295" s="100"/>
      <c r="T295" s="105"/>
      <c r="U295" s="101"/>
      <c r="V295" s="71" t="s">
        <v>417</v>
      </c>
      <c r="W295" s="422"/>
      <c r="X295" s="542"/>
      <c r="Y295" s="542"/>
      <c r="Z295" s="542"/>
    </row>
    <row r="296" spans="1:26" s="71" customFormat="1" ht="14.25" customHeight="1">
      <c r="A296" s="423" t="s">
        <v>2707</v>
      </c>
      <c r="B296" s="426" t="s">
        <v>299</v>
      </c>
      <c r="C296" s="427" t="s">
        <v>418</v>
      </c>
      <c r="D296" s="472" t="s">
        <v>2787</v>
      </c>
      <c r="E296" s="419" t="s">
        <v>1345</v>
      </c>
      <c r="F296" s="419" t="s">
        <v>1739</v>
      </c>
      <c r="G296" s="71" t="s">
        <v>1740</v>
      </c>
      <c r="H296" s="71" t="s">
        <v>42</v>
      </c>
      <c r="J296" s="71" t="s">
        <v>44</v>
      </c>
      <c r="K296" s="419" t="s">
        <v>44</v>
      </c>
      <c r="L296" s="419" t="s">
        <v>794</v>
      </c>
      <c r="M296" s="71" t="s">
        <v>795</v>
      </c>
      <c r="N296" s="71">
        <v>20.128488999999998</v>
      </c>
      <c r="O296" s="71">
        <v>92.875814000000005</v>
      </c>
      <c r="P296" s="71" t="s">
        <v>761</v>
      </c>
      <c r="Q296" s="71" t="s">
        <v>780</v>
      </c>
      <c r="R296" s="422">
        <v>396</v>
      </c>
      <c r="S296" s="100">
        <v>2285</v>
      </c>
      <c r="T296" s="105"/>
      <c r="U296" s="101"/>
      <c r="V296" s="71" t="s">
        <v>840</v>
      </c>
      <c r="W296" s="422"/>
      <c r="X296" s="542">
        <v>99</v>
      </c>
      <c r="Y296" s="542">
        <v>287</v>
      </c>
      <c r="Z296" s="542">
        <v>386</v>
      </c>
    </row>
    <row r="297" spans="1:26" s="71" customFormat="1" ht="14.25" customHeight="1">
      <c r="A297" s="423" t="s">
        <v>2707</v>
      </c>
      <c r="B297" s="426" t="s">
        <v>299</v>
      </c>
      <c r="C297" s="427" t="s">
        <v>865</v>
      </c>
      <c r="D297" s="421" t="s">
        <v>1655</v>
      </c>
      <c r="E297" s="71" t="s">
        <v>1359</v>
      </c>
      <c r="F297" s="71" t="s">
        <v>1661</v>
      </c>
      <c r="G297" s="71" t="s">
        <v>1687</v>
      </c>
      <c r="J297" s="71" t="s">
        <v>44</v>
      </c>
      <c r="K297" s="419" t="s">
        <v>44</v>
      </c>
      <c r="L297" s="419" t="s">
        <v>760</v>
      </c>
      <c r="M297" s="71" t="s">
        <v>795</v>
      </c>
      <c r="N297" s="71">
        <v>20.181238</v>
      </c>
      <c r="O297" s="71">
        <v>92.807418999999996</v>
      </c>
      <c r="P297" s="71" t="s">
        <v>761</v>
      </c>
      <c r="Q297" s="71" t="s">
        <v>780</v>
      </c>
      <c r="R297" s="430"/>
      <c r="S297" s="423"/>
      <c r="T297" s="105"/>
      <c r="U297" s="101"/>
      <c r="V297" s="71" t="s">
        <v>865</v>
      </c>
      <c r="W297" s="422"/>
      <c r="X297" s="542"/>
      <c r="Y297" s="542"/>
      <c r="Z297" s="542"/>
    </row>
    <row r="298" spans="1:26" s="71" customFormat="1" ht="14.25" customHeight="1">
      <c r="A298" s="423" t="s">
        <v>2707</v>
      </c>
      <c r="B298" s="426" t="s">
        <v>299</v>
      </c>
      <c r="C298" s="427" t="s">
        <v>429</v>
      </c>
      <c r="D298" s="472" t="s">
        <v>2787</v>
      </c>
      <c r="E298" s="71" t="s">
        <v>1357</v>
      </c>
      <c r="F298" s="71" t="s">
        <v>1661</v>
      </c>
      <c r="G298" s="71" t="s">
        <v>1687</v>
      </c>
      <c r="H298" s="71" t="s">
        <v>42</v>
      </c>
      <c r="J298" s="71" t="s">
        <v>44</v>
      </c>
      <c r="K298" s="71" t="s">
        <v>44</v>
      </c>
      <c r="L298" s="71" t="s">
        <v>794</v>
      </c>
      <c r="M298" s="71" t="s">
        <v>795</v>
      </c>
      <c r="N298" s="71">
        <v>20.179417000000001</v>
      </c>
      <c r="O298" s="71">
        <v>92.813028000000003</v>
      </c>
      <c r="P298" s="71" t="s">
        <v>761</v>
      </c>
      <c r="R298" s="422">
        <v>1013</v>
      </c>
      <c r="S298" s="423">
        <v>4774</v>
      </c>
      <c r="T298" s="105"/>
      <c r="U298" s="101" t="s">
        <v>862</v>
      </c>
      <c r="W298" s="422"/>
      <c r="X298" s="542">
        <v>124</v>
      </c>
      <c r="Y298" s="542">
        <v>410</v>
      </c>
      <c r="Z298" s="542">
        <v>534</v>
      </c>
    </row>
    <row r="299" spans="1:26" s="71" customFormat="1" ht="14.25" customHeight="1">
      <c r="A299" s="423" t="s">
        <v>2707</v>
      </c>
      <c r="B299" s="426" t="s">
        <v>299</v>
      </c>
      <c r="C299" s="427" t="s">
        <v>431</v>
      </c>
      <c r="D299" s="472" t="s">
        <v>2787</v>
      </c>
      <c r="E299" s="419" t="s">
        <v>1360</v>
      </c>
      <c r="F299" s="419" t="s">
        <v>1661</v>
      </c>
      <c r="G299" s="71" t="s">
        <v>1687</v>
      </c>
      <c r="H299" s="71" t="s">
        <v>42</v>
      </c>
      <c r="J299" s="71" t="s">
        <v>44</v>
      </c>
      <c r="K299" s="419" t="s">
        <v>44</v>
      </c>
      <c r="L299" s="419" t="s">
        <v>794</v>
      </c>
      <c r="M299" s="71" t="s">
        <v>795</v>
      </c>
      <c r="N299" s="71">
        <v>20.181405999999999</v>
      </c>
      <c r="O299" s="71">
        <v>92.807552000000001</v>
      </c>
      <c r="P299" s="71" t="s">
        <v>761</v>
      </c>
      <c r="R299" s="422">
        <v>1334</v>
      </c>
      <c r="S299" s="423">
        <v>6643</v>
      </c>
      <c r="T299" s="105"/>
      <c r="U299" s="101" t="s">
        <v>862</v>
      </c>
      <c r="W299" s="422"/>
      <c r="X299" s="542">
        <v>193</v>
      </c>
      <c r="Y299" s="542">
        <v>637</v>
      </c>
      <c r="Z299" s="542">
        <v>830</v>
      </c>
    </row>
    <row r="300" spans="1:26" s="71" customFormat="1" ht="14.25" customHeight="1">
      <c r="A300" s="423" t="s">
        <v>2707</v>
      </c>
      <c r="B300" s="426" t="s">
        <v>299</v>
      </c>
      <c r="C300" s="427" t="s">
        <v>1093</v>
      </c>
      <c r="D300" s="421" t="s">
        <v>1654</v>
      </c>
      <c r="J300" s="71" t="s">
        <v>798</v>
      </c>
      <c r="K300" s="419" t="s">
        <v>798</v>
      </c>
      <c r="L300" s="419" t="s">
        <v>798</v>
      </c>
      <c r="M300" s="71" t="s">
        <v>795</v>
      </c>
      <c r="P300" s="71" t="s">
        <v>799</v>
      </c>
      <c r="Q300" s="71" t="s">
        <v>762</v>
      </c>
      <c r="R300" s="430"/>
      <c r="S300" s="423"/>
      <c r="T300" s="105">
        <v>42804</v>
      </c>
      <c r="U300" s="101"/>
      <c r="V300" s="71" t="s">
        <v>1093</v>
      </c>
      <c r="W300" s="422"/>
      <c r="X300" s="542"/>
      <c r="Y300" s="542"/>
      <c r="Z300" s="542"/>
    </row>
    <row r="301" spans="1:26" s="71" customFormat="1" ht="14.25" customHeight="1">
      <c r="A301" s="423" t="s">
        <v>2707</v>
      </c>
      <c r="B301" s="426" t="s">
        <v>299</v>
      </c>
      <c r="C301" s="427" t="s">
        <v>2700</v>
      </c>
      <c r="D301" s="472" t="s">
        <v>2787</v>
      </c>
      <c r="E301" s="71" t="s">
        <v>1363</v>
      </c>
      <c r="F301" s="71" t="s">
        <v>1661</v>
      </c>
      <c r="G301" s="71" t="s">
        <v>1687</v>
      </c>
      <c r="H301" s="71" t="s">
        <v>42</v>
      </c>
      <c r="J301" s="71" t="s">
        <v>44</v>
      </c>
      <c r="K301" s="419" t="s">
        <v>44</v>
      </c>
      <c r="L301" s="419" t="s">
        <v>772</v>
      </c>
      <c r="M301" s="71" t="s">
        <v>795</v>
      </c>
      <c r="N301" s="71">
        <v>20.182987000000001</v>
      </c>
      <c r="O301" s="71">
        <v>92.804803000000007</v>
      </c>
      <c r="P301" s="71" t="s">
        <v>773</v>
      </c>
      <c r="Q301" s="71" t="s">
        <v>780</v>
      </c>
      <c r="R301" s="422">
        <v>41</v>
      </c>
      <c r="S301" s="423">
        <v>226</v>
      </c>
      <c r="T301" s="105"/>
      <c r="U301" s="101"/>
      <c r="V301" s="419" t="s">
        <v>867</v>
      </c>
      <c r="W301" s="422"/>
      <c r="X301" s="542"/>
      <c r="Y301" s="542"/>
      <c r="Z301" s="542"/>
    </row>
    <row r="302" spans="1:26" s="71" customFormat="1" ht="14.25" customHeight="1">
      <c r="A302" s="423" t="s">
        <v>2707</v>
      </c>
      <c r="B302" s="426" t="s">
        <v>299</v>
      </c>
      <c r="C302" s="427" t="s">
        <v>419</v>
      </c>
      <c r="D302" s="421" t="s">
        <v>1654</v>
      </c>
      <c r="E302" s="71">
        <v>196200</v>
      </c>
      <c r="J302" s="71" t="s">
        <v>804</v>
      </c>
      <c r="K302" s="71" t="s">
        <v>798</v>
      </c>
      <c r="L302" s="71" t="s">
        <v>804</v>
      </c>
      <c r="M302" s="71" t="s">
        <v>795</v>
      </c>
      <c r="N302" s="71">
        <v>20.143859859999999</v>
      </c>
      <c r="O302" s="71">
        <v>92.867576600000007</v>
      </c>
      <c r="P302" s="71" t="s">
        <v>923</v>
      </c>
      <c r="Q302" s="71" t="s">
        <v>762</v>
      </c>
      <c r="R302" s="430"/>
      <c r="S302" s="423"/>
      <c r="T302" s="105">
        <v>42811</v>
      </c>
      <c r="U302" s="101"/>
      <c r="W302" s="422"/>
      <c r="X302" s="542"/>
      <c r="Y302" s="542"/>
      <c r="Z302" s="542"/>
    </row>
    <row r="303" spans="1:26" s="71" customFormat="1" ht="14.25" customHeight="1">
      <c r="A303" s="423" t="s">
        <v>2707</v>
      </c>
      <c r="B303" s="420" t="s">
        <v>299</v>
      </c>
      <c r="C303" s="420" t="s">
        <v>2642</v>
      </c>
      <c r="D303" s="472"/>
      <c r="E303" s="71">
        <v>196203</v>
      </c>
      <c r="F303" s="420"/>
      <c r="J303" s="71" t="s">
        <v>798</v>
      </c>
      <c r="K303" s="420" t="s">
        <v>798</v>
      </c>
      <c r="L303" s="420" t="s">
        <v>798</v>
      </c>
      <c r="N303" s="71">
        <v>20.142469406127901</v>
      </c>
      <c r="O303" s="71">
        <v>92.863967895507798</v>
      </c>
      <c r="R303" s="426"/>
      <c r="S303" s="427"/>
      <c r="T303" s="105"/>
      <c r="U303" s="101"/>
      <c r="W303" s="422"/>
      <c r="X303" s="542"/>
      <c r="Y303" s="542"/>
      <c r="Z303" s="542"/>
    </row>
    <row r="304" spans="1:26" s="71" customFormat="1" ht="14.25" customHeight="1">
      <c r="A304" s="423" t="s">
        <v>2707</v>
      </c>
      <c r="B304" s="420" t="s">
        <v>299</v>
      </c>
      <c r="C304" s="420" t="s">
        <v>2629</v>
      </c>
      <c r="D304" s="472"/>
      <c r="E304" s="71">
        <v>196132</v>
      </c>
      <c r="J304" s="71" t="s">
        <v>798</v>
      </c>
      <c r="K304" s="419" t="s">
        <v>798</v>
      </c>
      <c r="L304" s="419" t="s">
        <v>798</v>
      </c>
      <c r="R304" s="422"/>
      <c r="S304" s="422"/>
      <c r="T304" s="105"/>
      <c r="U304" s="101"/>
      <c r="W304" s="422"/>
      <c r="X304" s="542"/>
      <c r="Y304" s="542"/>
      <c r="Z304" s="542"/>
    </row>
    <row r="305" spans="1:26" s="71" customFormat="1" ht="14.25" customHeight="1">
      <c r="A305" s="423" t="s">
        <v>2707</v>
      </c>
      <c r="B305" s="426" t="s">
        <v>299</v>
      </c>
      <c r="C305" s="427" t="s">
        <v>459</v>
      </c>
      <c r="D305" s="421" t="s">
        <v>1654</v>
      </c>
      <c r="E305" s="71">
        <v>196172</v>
      </c>
      <c r="J305" s="71" t="s">
        <v>804</v>
      </c>
      <c r="K305" s="71" t="s">
        <v>798</v>
      </c>
      <c r="L305" s="71" t="s">
        <v>804</v>
      </c>
      <c r="M305" s="71" t="s">
        <v>298</v>
      </c>
      <c r="N305" s="71">
        <v>20.286720280000001</v>
      </c>
      <c r="O305" s="71">
        <v>92.882843019999996</v>
      </c>
      <c r="P305" s="71" t="s">
        <v>923</v>
      </c>
      <c r="Q305" s="71" t="s">
        <v>762</v>
      </c>
      <c r="R305" s="430"/>
      <c r="S305" s="423"/>
      <c r="T305" s="105">
        <v>42811</v>
      </c>
      <c r="U305" s="101"/>
      <c r="V305" s="419"/>
      <c r="W305" s="422"/>
      <c r="X305" s="542"/>
      <c r="Y305" s="542"/>
      <c r="Z305" s="542"/>
    </row>
    <row r="306" spans="1:26" s="71" customFormat="1" ht="14.25" customHeight="1">
      <c r="A306" s="423" t="s">
        <v>2707</v>
      </c>
      <c r="B306" s="426" t="s">
        <v>299</v>
      </c>
      <c r="C306" s="427" t="s">
        <v>428</v>
      </c>
      <c r="D306" s="472" t="s">
        <v>2787</v>
      </c>
      <c r="E306" s="71" t="s">
        <v>1355</v>
      </c>
      <c r="F306" s="71" t="s">
        <v>419</v>
      </c>
      <c r="G306" s="71" t="s">
        <v>1741</v>
      </c>
      <c r="H306" s="71" t="s">
        <v>42</v>
      </c>
      <c r="J306" s="71" t="s">
        <v>44</v>
      </c>
      <c r="K306" s="71" t="s">
        <v>44</v>
      </c>
      <c r="L306" s="71" t="s">
        <v>794</v>
      </c>
      <c r="M306" s="71" t="s">
        <v>795</v>
      </c>
      <c r="N306" s="71">
        <v>20.16846</v>
      </c>
      <c r="O306" s="71">
        <v>92.827427</v>
      </c>
      <c r="P306" s="71" t="s">
        <v>761</v>
      </c>
      <c r="Q306" s="71" t="s">
        <v>780</v>
      </c>
      <c r="R306" s="422">
        <v>1983</v>
      </c>
      <c r="S306" s="100">
        <v>11391</v>
      </c>
      <c r="T306" s="105"/>
      <c r="U306" s="101"/>
      <c r="V306" s="71" t="s">
        <v>428</v>
      </c>
      <c r="W306" s="422"/>
      <c r="X306" s="542">
        <v>92</v>
      </c>
      <c r="Y306" s="542">
        <v>645</v>
      </c>
      <c r="Z306" s="542">
        <v>737</v>
      </c>
    </row>
    <row r="307" spans="1:26" s="71" customFormat="1" ht="14.25" customHeight="1">
      <c r="A307" s="423" t="s">
        <v>2707</v>
      </c>
      <c r="B307" s="426" t="s">
        <v>299</v>
      </c>
      <c r="C307" s="427" t="s">
        <v>427</v>
      </c>
      <c r="D307" s="472" t="s">
        <v>2787</v>
      </c>
      <c r="E307" s="71" t="s">
        <v>1354</v>
      </c>
      <c r="F307" s="71" t="s">
        <v>419</v>
      </c>
      <c r="G307" s="71" t="s">
        <v>1741</v>
      </c>
      <c r="H307" s="71" t="s">
        <v>42</v>
      </c>
      <c r="J307" s="71" t="s">
        <v>44</v>
      </c>
      <c r="K307" s="71" t="s">
        <v>44</v>
      </c>
      <c r="L307" s="71" t="s">
        <v>772</v>
      </c>
      <c r="M307" s="71" t="s">
        <v>795</v>
      </c>
      <c r="N307" s="71">
        <v>20.167421999999998</v>
      </c>
      <c r="O307" s="71">
        <v>92.830074999999994</v>
      </c>
      <c r="P307" s="71" t="s">
        <v>773</v>
      </c>
      <c r="R307" s="422">
        <v>518</v>
      </c>
      <c r="S307" s="100">
        <v>2951</v>
      </c>
      <c r="T307" s="105"/>
      <c r="U307" s="101" t="s">
        <v>857</v>
      </c>
      <c r="V307" s="71" t="s">
        <v>858</v>
      </c>
      <c r="W307" s="422"/>
      <c r="X307" s="542"/>
      <c r="Y307" s="542"/>
      <c r="Z307" s="542"/>
    </row>
    <row r="308" spans="1:26" s="71" customFormat="1" ht="14.25" customHeight="1">
      <c r="A308" s="423" t="s">
        <v>2707</v>
      </c>
      <c r="B308" s="426" t="s">
        <v>299</v>
      </c>
      <c r="C308" s="427" t="s">
        <v>302</v>
      </c>
      <c r="D308" s="421" t="s">
        <v>1654</v>
      </c>
      <c r="J308" s="419" t="s">
        <v>798</v>
      </c>
      <c r="K308" s="419" t="s">
        <v>798</v>
      </c>
      <c r="L308" s="71" t="s">
        <v>798</v>
      </c>
      <c r="M308" s="71" t="s">
        <v>795</v>
      </c>
      <c r="P308" s="71" t="s">
        <v>799</v>
      </c>
      <c r="Q308" s="71" t="s">
        <v>780</v>
      </c>
      <c r="R308" s="430"/>
      <c r="S308" s="423"/>
      <c r="T308" s="105"/>
      <c r="U308" s="101"/>
      <c r="V308" s="419" t="s">
        <v>302</v>
      </c>
      <c r="W308" s="422"/>
      <c r="X308" s="542"/>
      <c r="Y308" s="542"/>
      <c r="Z308" s="542"/>
    </row>
    <row r="309" spans="1:26" s="71" customFormat="1" ht="14.25" customHeight="1">
      <c r="A309" s="423" t="s">
        <v>2707</v>
      </c>
      <c r="B309" s="420" t="s">
        <v>299</v>
      </c>
      <c r="C309" s="427" t="s">
        <v>2643</v>
      </c>
      <c r="D309" s="421"/>
      <c r="E309" s="71">
        <v>196202</v>
      </c>
      <c r="F309" s="71" t="s">
        <v>419</v>
      </c>
      <c r="J309" s="71" t="s">
        <v>798</v>
      </c>
      <c r="K309" s="71" t="s">
        <v>798</v>
      </c>
      <c r="L309" s="420" t="s">
        <v>798</v>
      </c>
      <c r="N309" s="71">
        <v>20.170469284057599</v>
      </c>
      <c r="O309" s="71">
        <v>92.8343505859375</v>
      </c>
      <c r="R309" s="430"/>
      <c r="S309" s="423"/>
      <c r="T309" s="105"/>
      <c r="U309" s="101"/>
      <c r="W309" s="422"/>
      <c r="X309" s="542"/>
      <c r="Y309" s="542"/>
      <c r="Z309" s="542"/>
    </row>
    <row r="310" spans="1:26" s="71" customFormat="1" ht="14.25" customHeight="1">
      <c r="A310" s="423" t="s">
        <v>2707</v>
      </c>
      <c r="B310" s="420" t="s">
        <v>299</v>
      </c>
      <c r="C310" s="420" t="s">
        <v>1741</v>
      </c>
      <c r="D310" s="472"/>
      <c r="E310" s="71">
        <v>196206</v>
      </c>
      <c r="F310" s="420" t="s">
        <v>419</v>
      </c>
      <c r="J310" s="71" t="s">
        <v>798</v>
      </c>
      <c r="K310" s="420" t="s">
        <v>798</v>
      </c>
      <c r="L310" s="420" t="s">
        <v>798</v>
      </c>
      <c r="N310" s="71">
        <v>20.168970108032202</v>
      </c>
      <c r="O310" s="71">
        <v>92.826896667480497</v>
      </c>
      <c r="R310" s="422"/>
      <c r="S310" s="100"/>
      <c r="T310" s="105"/>
      <c r="U310" s="101"/>
      <c r="V310" s="419"/>
      <c r="W310" s="422"/>
      <c r="X310" s="542"/>
      <c r="Y310" s="542"/>
      <c r="Z310" s="542"/>
    </row>
    <row r="311" spans="1:26" s="71" customFormat="1" ht="14.25" customHeight="1">
      <c r="A311" s="423" t="s">
        <v>2707</v>
      </c>
      <c r="B311" s="426" t="s">
        <v>299</v>
      </c>
      <c r="C311" s="427" t="s">
        <v>1877</v>
      </c>
      <c r="D311" s="421" t="s">
        <v>1874</v>
      </c>
      <c r="J311" s="71" t="s">
        <v>798</v>
      </c>
      <c r="K311" s="71" t="s">
        <v>798</v>
      </c>
      <c r="L311" s="71" t="s">
        <v>798</v>
      </c>
      <c r="P311" s="71" t="s">
        <v>799</v>
      </c>
      <c r="R311" s="430"/>
      <c r="S311" s="423"/>
      <c r="T311" s="105"/>
      <c r="U311" s="101"/>
      <c r="W311" s="422"/>
      <c r="X311" s="542"/>
      <c r="Y311" s="542"/>
      <c r="Z311" s="542"/>
    </row>
    <row r="312" spans="1:26" s="71" customFormat="1" ht="14.25" customHeight="1">
      <c r="A312" s="423" t="s">
        <v>2707</v>
      </c>
      <c r="B312" s="426" t="s">
        <v>299</v>
      </c>
      <c r="C312" s="427" t="s">
        <v>447</v>
      </c>
      <c r="D312" s="421" t="s">
        <v>1654</v>
      </c>
      <c r="E312" s="71">
        <v>196140</v>
      </c>
      <c r="F312" s="419"/>
      <c r="J312" s="71" t="s">
        <v>798</v>
      </c>
      <c r="K312" s="419" t="s">
        <v>798</v>
      </c>
      <c r="L312" s="419" t="s">
        <v>798</v>
      </c>
      <c r="M312" s="71" t="s">
        <v>298</v>
      </c>
      <c r="N312" s="71">
        <v>20.218299999999999</v>
      </c>
      <c r="O312" s="71">
        <v>92.805999999999997</v>
      </c>
      <c r="P312" s="71" t="s">
        <v>799</v>
      </c>
      <c r="Q312" s="71" t="s">
        <v>780</v>
      </c>
      <c r="R312" s="430"/>
      <c r="S312" s="100"/>
      <c r="T312" s="105"/>
      <c r="U312" s="101"/>
      <c r="V312" s="71" t="s">
        <v>447</v>
      </c>
      <c r="W312" s="422"/>
      <c r="X312" s="542"/>
      <c r="Y312" s="542"/>
      <c r="Z312" s="542"/>
    </row>
    <row r="313" spans="1:26" s="71" customFormat="1" ht="14.25" customHeight="1">
      <c r="A313" s="423" t="s">
        <v>2707</v>
      </c>
      <c r="B313" s="426" t="s">
        <v>299</v>
      </c>
      <c r="C313" s="427" t="s">
        <v>850</v>
      </c>
      <c r="D313" s="421" t="s">
        <v>1655</v>
      </c>
      <c r="E313" s="71" t="s">
        <v>1350</v>
      </c>
      <c r="F313" s="71" t="s">
        <v>1686</v>
      </c>
      <c r="G313" s="71">
        <v>0</v>
      </c>
      <c r="J313" s="71" t="s">
        <v>44</v>
      </c>
      <c r="K313" s="71" t="s">
        <v>44</v>
      </c>
      <c r="L313" s="71" t="s">
        <v>760</v>
      </c>
      <c r="N313" s="71">
        <v>20.153129</v>
      </c>
      <c r="O313" s="71">
        <v>92.897177999999997</v>
      </c>
      <c r="P313" s="71" t="s">
        <v>761</v>
      </c>
      <c r="R313" s="430"/>
      <c r="S313" s="100"/>
      <c r="T313" s="105"/>
      <c r="U313" s="101"/>
      <c r="V313" s="71" t="s">
        <v>851</v>
      </c>
      <c r="W313" s="422"/>
      <c r="X313" s="542"/>
      <c r="Y313" s="542"/>
      <c r="Z313" s="542"/>
    </row>
    <row r="314" spans="1:26" s="71" customFormat="1" ht="14.25" customHeight="1">
      <c r="A314" s="423" t="s">
        <v>2707</v>
      </c>
      <c r="B314" s="420" t="s">
        <v>299</v>
      </c>
      <c r="C314" s="420" t="s">
        <v>2636</v>
      </c>
      <c r="D314" s="472"/>
      <c r="E314" s="420">
        <v>196126</v>
      </c>
      <c r="F314" s="71" t="s">
        <v>2638</v>
      </c>
      <c r="J314" s="71" t="s">
        <v>798</v>
      </c>
      <c r="K314" s="420" t="s">
        <v>798</v>
      </c>
      <c r="L314" s="420" t="s">
        <v>798</v>
      </c>
      <c r="N314" s="419">
        <v>20.199499130248999</v>
      </c>
      <c r="O314" s="419">
        <v>92.834327697753906</v>
      </c>
      <c r="R314" s="422"/>
      <c r="S314" s="100"/>
      <c r="T314" s="105"/>
      <c r="U314" s="101"/>
      <c r="W314" s="422"/>
      <c r="X314" s="542"/>
      <c r="Y314" s="542"/>
      <c r="Z314" s="542"/>
    </row>
    <row r="315" spans="1:26" s="71" customFormat="1" ht="14.25" customHeight="1">
      <c r="A315" s="423" t="s">
        <v>2707</v>
      </c>
      <c r="B315" s="420" t="s">
        <v>299</v>
      </c>
      <c r="C315" s="420" t="s">
        <v>2637</v>
      </c>
      <c r="D315" s="472"/>
      <c r="E315" s="71">
        <v>196128</v>
      </c>
      <c r="F315" s="419" t="s">
        <v>2638</v>
      </c>
      <c r="J315" s="71" t="s">
        <v>798</v>
      </c>
      <c r="K315" s="420" t="s">
        <v>798</v>
      </c>
      <c r="L315" s="420" t="s">
        <v>798</v>
      </c>
      <c r="N315" s="71">
        <v>20.194370269775401</v>
      </c>
      <c r="O315" s="71">
        <v>92.834007263183594</v>
      </c>
      <c r="R315" s="422"/>
      <c r="S315" s="422"/>
      <c r="T315" s="105"/>
      <c r="U315" s="101"/>
      <c r="W315" s="422"/>
      <c r="X315" s="542"/>
      <c r="Y315" s="542"/>
      <c r="Z315" s="542"/>
    </row>
    <row r="316" spans="1:26" s="71" customFormat="1" ht="14.25" customHeight="1">
      <c r="A316" s="423" t="s">
        <v>2707</v>
      </c>
      <c r="B316" s="426" t="s">
        <v>299</v>
      </c>
      <c r="C316" s="427" t="s">
        <v>439</v>
      </c>
      <c r="D316" s="421" t="s">
        <v>1654</v>
      </c>
      <c r="E316" s="420">
        <v>196128</v>
      </c>
      <c r="F316" s="419"/>
      <c r="J316" s="71" t="s">
        <v>804</v>
      </c>
      <c r="K316" s="71" t="s">
        <v>798</v>
      </c>
      <c r="L316" s="71" t="s">
        <v>804</v>
      </c>
      <c r="M316" s="71" t="s">
        <v>795</v>
      </c>
      <c r="N316" s="71">
        <v>20.19437027</v>
      </c>
      <c r="O316" s="71">
        <v>92.834007260000007</v>
      </c>
      <c r="P316" s="71" t="s">
        <v>923</v>
      </c>
      <c r="Q316" s="71" t="s">
        <v>762</v>
      </c>
      <c r="R316" s="430"/>
      <c r="S316" s="100"/>
      <c r="T316" s="105">
        <v>42811</v>
      </c>
      <c r="U316" s="101"/>
      <c r="W316" s="422"/>
      <c r="X316" s="542"/>
      <c r="Y316" s="542"/>
      <c r="Z316" s="542"/>
    </row>
    <row r="317" spans="1:26" s="71" customFormat="1" ht="14.25" customHeight="1">
      <c r="A317" s="423" t="s">
        <v>2707</v>
      </c>
      <c r="B317" s="426" t="s">
        <v>299</v>
      </c>
      <c r="C317" s="427" t="s">
        <v>433</v>
      </c>
      <c r="D317" s="421" t="s">
        <v>1874</v>
      </c>
      <c r="E317" s="71">
        <v>196197</v>
      </c>
      <c r="J317" s="71" t="s">
        <v>798</v>
      </c>
      <c r="K317" s="71" t="s">
        <v>798</v>
      </c>
      <c r="L317" s="71" t="s">
        <v>798</v>
      </c>
      <c r="N317" s="71">
        <v>20.183790210000002</v>
      </c>
      <c r="O317" s="71">
        <v>92.864143369999994</v>
      </c>
      <c r="P317" s="71" t="s">
        <v>799</v>
      </c>
      <c r="R317" s="430"/>
      <c r="S317" s="100"/>
      <c r="T317" s="105"/>
      <c r="U317" s="101"/>
      <c r="W317" s="422"/>
      <c r="X317" s="542"/>
      <c r="Y317" s="542"/>
      <c r="Z317" s="542"/>
    </row>
    <row r="318" spans="1:26" s="71" customFormat="1" ht="14.25" customHeight="1">
      <c r="A318" s="423" t="s">
        <v>2707</v>
      </c>
      <c r="B318" s="420" t="s">
        <v>299</v>
      </c>
      <c r="C318" s="420" t="s">
        <v>2630</v>
      </c>
      <c r="D318" s="472"/>
      <c r="E318" s="71">
        <v>196135</v>
      </c>
      <c r="J318" s="71" t="s">
        <v>798</v>
      </c>
      <c r="K318" s="71" t="s">
        <v>798</v>
      </c>
      <c r="L318" s="71" t="s">
        <v>798</v>
      </c>
      <c r="R318" s="422"/>
      <c r="S318" s="422"/>
      <c r="T318" s="105"/>
      <c r="U318" s="101"/>
      <c r="W318" s="422"/>
      <c r="X318" s="542"/>
      <c r="Y318" s="542"/>
      <c r="Z318" s="542"/>
    </row>
    <row r="319" spans="1:26" s="71" customFormat="1" ht="14.25" customHeight="1">
      <c r="A319" s="423" t="s">
        <v>2707</v>
      </c>
      <c r="B319" s="420" t="s">
        <v>299</v>
      </c>
      <c r="C319" s="420" t="s">
        <v>2631</v>
      </c>
      <c r="D319" s="472"/>
      <c r="E319" s="71">
        <v>196134</v>
      </c>
      <c r="F319" s="71" t="s">
        <v>2761</v>
      </c>
      <c r="J319" s="71" t="s">
        <v>798</v>
      </c>
      <c r="K319" s="71" t="s">
        <v>798</v>
      </c>
      <c r="L319" s="71" t="s">
        <v>798</v>
      </c>
      <c r="N319" s="71">
        <v>20.187860488891602</v>
      </c>
      <c r="O319" s="71">
        <v>92.903419494628906</v>
      </c>
      <c r="R319" s="422"/>
      <c r="S319" s="423"/>
      <c r="T319" s="105"/>
      <c r="U319" s="101"/>
      <c r="W319" s="422"/>
      <c r="X319" s="542"/>
      <c r="Y319" s="542"/>
      <c r="Z319" s="542"/>
    </row>
    <row r="320" spans="1:26" s="71" customFormat="1" ht="14.25" customHeight="1">
      <c r="A320" s="423" t="s">
        <v>2707</v>
      </c>
      <c r="B320" s="420" t="s">
        <v>299</v>
      </c>
      <c r="C320" s="420" t="s">
        <v>2026</v>
      </c>
      <c r="D320" s="472"/>
      <c r="E320" s="419">
        <v>196160</v>
      </c>
      <c r="F320" s="419" t="s">
        <v>2026</v>
      </c>
      <c r="G320" s="419"/>
      <c r="H320" s="419"/>
      <c r="I320" s="419"/>
      <c r="J320" s="71" t="s">
        <v>798</v>
      </c>
      <c r="K320" s="420" t="s">
        <v>798</v>
      </c>
      <c r="L320" s="420" t="s">
        <v>798</v>
      </c>
      <c r="M320" s="419"/>
      <c r="N320" s="419">
        <v>20.246250152587901</v>
      </c>
      <c r="O320" s="419">
        <v>92.822059631347699</v>
      </c>
      <c r="Q320" s="419"/>
      <c r="R320" s="422"/>
      <c r="S320" s="423"/>
      <c r="T320" s="442"/>
      <c r="U320" s="424"/>
      <c r="V320" s="419" t="s">
        <v>2768</v>
      </c>
      <c r="W320" s="422"/>
      <c r="X320" s="542"/>
      <c r="Y320" s="542"/>
      <c r="Z320" s="542"/>
    </row>
    <row r="321" spans="1:26" s="71" customFormat="1" ht="14.25" customHeight="1">
      <c r="A321" s="423" t="s">
        <v>2707</v>
      </c>
      <c r="B321" s="426" t="s">
        <v>299</v>
      </c>
      <c r="C321" s="427" t="s">
        <v>2310</v>
      </c>
      <c r="D321" s="472" t="s">
        <v>2787</v>
      </c>
      <c r="E321" s="419" t="s">
        <v>1362</v>
      </c>
      <c r="F321" s="71" t="s">
        <v>1661</v>
      </c>
      <c r="G321" s="71" t="s">
        <v>1661</v>
      </c>
      <c r="H321" s="71" t="s">
        <v>42</v>
      </c>
      <c r="I321" s="419"/>
      <c r="J321" s="71" t="s">
        <v>44</v>
      </c>
      <c r="K321" s="419" t="s">
        <v>44</v>
      </c>
      <c r="L321" s="419" t="s">
        <v>794</v>
      </c>
      <c r="M321" s="71" t="s">
        <v>795</v>
      </c>
      <c r="N321" s="71">
        <v>20.181778000000001</v>
      </c>
      <c r="O321" s="419">
        <v>92.823166999999998</v>
      </c>
      <c r="P321" s="71" t="s">
        <v>761</v>
      </c>
      <c r="Q321" s="71" t="s">
        <v>780</v>
      </c>
      <c r="R321" s="422">
        <v>400</v>
      </c>
      <c r="S321" s="423">
        <v>2325</v>
      </c>
      <c r="T321" s="105"/>
      <c r="U321" s="101"/>
      <c r="V321" s="71" t="s">
        <v>866</v>
      </c>
      <c r="W321" s="422"/>
      <c r="X321" s="542">
        <v>47</v>
      </c>
      <c r="Y321" s="542">
        <v>312</v>
      </c>
      <c r="Z321" s="542">
        <v>359</v>
      </c>
    </row>
    <row r="322" spans="1:26" s="71" customFormat="1" ht="14.25" customHeight="1">
      <c r="A322" s="423" t="s">
        <v>2707</v>
      </c>
      <c r="B322" s="426" t="s">
        <v>299</v>
      </c>
      <c r="C322" s="427" t="s">
        <v>2311</v>
      </c>
      <c r="D322" s="472" t="s">
        <v>2787</v>
      </c>
      <c r="E322" s="71" t="s">
        <v>1362</v>
      </c>
      <c r="F322" s="71" t="s">
        <v>1661</v>
      </c>
      <c r="G322" s="71">
        <v>0</v>
      </c>
      <c r="J322" s="71" t="s">
        <v>44</v>
      </c>
      <c r="K322" s="71" t="s">
        <v>44</v>
      </c>
      <c r="L322" s="71" t="s">
        <v>794</v>
      </c>
      <c r="M322" s="71" t="s">
        <v>795</v>
      </c>
      <c r="N322" s="71">
        <v>20.180194</v>
      </c>
      <c r="O322" s="71">
        <v>92.816638999999995</v>
      </c>
      <c r="P322" s="71" t="s">
        <v>761</v>
      </c>
      <c r="Q322" s="71" t="s">
        <v>780</v>
      </c>
      <c r="R322" s="422">
        <v>399</v>
      </c>
      <c r="S322" s="100">
        <v>2230</v>
      </c>
      <c r="T322" s="105">
        <v>43488</v>
      </c>
      <c r="U322" s="101"/>
      <c r="V322" s="71" t="s">
        <v>864</v>
      </c>
      <c r="W322" s="422"/>
      <c r="X322" s="542">
        <v>68</v>
      </c>
      <c r="Y322" s="542">
        <v>265</v>
      </c>
      <c r="Z322" s="542">
        <v>333</v>
      </c>
    </row>
    <row r="323" spans="1:26" s="71" customFormat="1" ht="14.25" customHeight="1">
      <c r="A323" s="423" t="s">
        <v>2707</v>
      </c>
      <c r="B323" s="426" t="s">
        <v>299</v>
      </c>
      <c r="C323" s="427" t="s">
        <v>2645</v>
      </c>
      <c r="D323" s="421"/>
      <c r="E323" s="71">
        <v>196195</v>
      </c>
      <c r="J323" s="71" t="s">
        <v>798</v>
      </c>
      <c r="K323" s="71" t="s">
        <v>798</v>
      </c>
      <c r="L323" s="71" t="s">
        <v>798</v>
      </c>
      <c r="N323" s="419">
        <v>20.172649383544901</v>
      </c>
      <c r="O323" s="419">
        <v>92.874351501464801</v>
      </c>
      <c r="R323" s="430"/>
      <c r="S323" s="100"/>
      <c r="T323" s="105"/>
      <c r="U323" s="101"/>
      <c r="W323" s="422"/>
      <c r="X323" s="542"/>
      <c r="Y323" s="542"/>
      <c r="Z323" s="542"/>
    </row>
    <row r="324" spans="1:26" s="71" customFormat="1" ht="14.25" customHeight="1">
      <c r="A324" s="423" t="s">
        <v>2707</v>
      </c>
      <c r="B324" s="426" t="s">
        <v>299</v>
      </c>
      <c r="C324" s="427" t="s">
        <v>2646</v>
      </c>
      <c r="D324" s="421"/>
      <c r="J324" s="71" t="s">
        <v>798</v>
      </c>
      <c r="K324" s="419" t="s">
        <v>798</v>
      </c>
      <c r="L324" s="71" t="s">
        <v>798</v>
      </c>
      <c r="O324" s="419"/>
      <c r="R324" s="430"/>
      <c r="S324" s="423"/>
      <c r="T324" s="105"/>
      <c r="U324" s="101"/>
      <c r="W324" s="422"/>
      <c r="X324" s="542"/>
      <c r="Y324" s="542"/>
      <c r="Z324" s="542"/>
    </row>
    <row r="325" spans="1:26" s="71" customFormat="1" ht="14.25" customHeight="1">
      <c r="A325" s="423" t="s">
        <v>2707</v>
      </c>
      <c r="B325" s="426" t="s">
        <v>299</v>
      </c>
      <c r="C325" s="427" t="s">
        <v>2022</v>
      </c>
      <c r="D325" s="421"/>
      <c r="E325" s="71">
        <v>196180</v>
      </c>
      <c r="F325" s="71" t="s">
        <v>2023</v>
      </c>
      <c r="J325" s="71" t="s">
        <v>798</v>
      </c>
      <c r="K325" s="71" t="s">
        <v>798</v>
      </c>
      <c r="L325" s="71" t="s">
        <v>798</v>
      </c>
      <c r="M325" s="71" t="s">
        <v>1910</v>
      </c>
      <c r="N325" s="71">
        <v>20.2315197</v>
      </c>
      <c r="O325" s="71">
        <v>92.876129149999997</v>
      </c>
      <c r="P325" s="71" t="s">
        <v>799</v>
      </c>
      <c r="R325" s="430"/>
      <c r="S325" s="100"/>
      <c r="T325" s="105">
        <v>43294</v>
      </c>
      <c r="U325" s="101"/>
      <c r="W325" s="422"/>
      <c r="X325" s="542"/>
      <c r="Y325" s="542"/>
      <c r="Z325" s="542"/>
    </row>
    <row r="326" spans="1:26" s="71" customFormat="1" ht="14.25" customHeight="1">
      <c r="A326" s="423" t="s">
        <v>2707</v>
      </c>
      <c r="B326" s="420" t="s">
        <v>299</v>
      </c>
      <c r="C326" s="420" t="s">
        <v>2635</v>
      </c>
      <c r="D326" s="472"/>
      <c r="E326" s="71">
        <v>196169</v>
      </c>
      <c r="F326" s="71" t="s">
        <v>2635</v>
      </c>
      <c r="J326" s="71" t="s">
        <v>798</v>
      </c>
      <c r="K326" s="71" t="s">
        <v>798</v>
      </c>
      <c r="L326" s="71" t="s">
        <v>798</v>
      </c>
      <c r="N326" s="71">
        <v>20.2375602722168</v>
      </c>
      <c r="O326" s="71">
        <v>92.861152648925795</v>
      </c>
      <c r="R326" s="422"/>
      <c r="S326" s="100"/>
      <c r="T326" s="105"/>
      <c r="U326" s="101"/>
      <c r="W326" s="422"/>
      <c r="X326" s="542"/>
      <c r="Y326" s="542"/>
      <c r="Z326" s="542"/>
    </row>
    <row r="327" spans="1:26" s="71" customFormat="1" ht="14.25" customHeight="1">
      <c r="A327" s="423" t="s">
        <v>2707</v>
      </c>
      <c r="B327" s="420" t="s">
        <v>299</v>
      </c>
      <c r="C327" s="420" t="s">
        <v>2634</v>
      </c>
      <c r="D327" s="472"/>
      <c r="E327" s="419">
        <v>196170</v>
      </c>
      <c r="F327" s="419" t="s">
        <v>2635</v>
      </c>
      <c r="G327" s="419"/>
      <c r="H327" s="419"/>
      <c r="I327" s="419"/>
      <c r="J327" s="71" t="s">
        <v>798</v>
      </c>
      <c r="K327" s="419" t="s">
        <v>798</v>
      </c>
      <c r="L327" s="419" t="s">
        <v>798</v>
      </c>
      <c r="M327" s="419"/>
      <c r="N327" s="419">
        <v>20.248519897460898</v>
      </c>
      <c r="O327" s="419">
        <v>92.8621826171875</v>
      </c>
      <c r="Q327" s="419"/>
      <c r="R327" s="422"/>
      <c r="S327" s="423"/>
      <c r="T327" s="442"/>
      <c r="U327" s="424"/>
      <c r="V327" s="419"/>
      <c r="W327" s="422"/>
      <c r="X327" s="542"/>
      <c r="Y327" s="542"/>
      <c r="Z327" s="542"/>
    </row>
    <row r="328" spans="1:26" s="71" customFormat="1" ht="14.25" customHeight="1">
      <c r="A328" s="423" t="s">
        <v>2707</v>
      </c>
      <c r="B328" s="420" t="s">
        <v>299</v>
      </c>
      <c r="C328" s="420" t="s">
        <v>2633</v>
      </c>
      <c r="D328" s="472"/>
      <c r="E328" s="419">
        <v>196166</v>
      </c>
      <c r="F328" s="419" t="s">
        <v>458</v>
      </c>
      <c r="J328" s="71" t="s">
        <v>798</v>
      </c>
      <c r="K328" s="419" t="s">
        <v>798</v>
      </c>
      <c r="L328" s="419" t="s">
        <v>798</v>
      </c>
      <c r="N328" s="71">
        <v>20.2630290985107</v>
      </c>
      <c r="O328" s="419">
        <v>92.858856201171903</v>
      </c>
      <c r="P328" s="419"/>
      <c r="Q328" s="419"/>
      <c r="R328" s="422"/>
      <c r="S328" s="423"/>
      <c r="T328" s="105"/>
      <c r="U328" s="101"/>
      <c r="V328" s="419"/>
      <c r="W328" s="422"/>
      <c r="X328" s="542"/>
      <c r="Y328" s="542"/>
      <c r="Z328" s="542"/>
    </row>
    <row r="329" spans="1:26" s="71" customFormat="1" ht="14.25" customHeight="1">
      <c r="A329" s="423" t="s">
        <v>2707</v>
      </c>
      <c r="B329" s="426" t="s">
        <v>299</v>
      </c>
      <c r="C329" s="427" t="s">
        <v>454</v>
      </c>
      <c r="D329" s="421" t="s">
        <v>1654</v>
      </c>
      <c r="E329" s="71">
        <v>196137</v>
      </c>
      <c r="F329" s="420" t="s">
        <v>454</v>
      </c>
      <c r="J329" s="71" t="s">
        <v>798</v>
      </c>
      <c r="K329" s="419" t="s">
        <v>798</v>
      </c>
      <c r="L329" s="419" t="s">
        <v>798</v>
      </c>
      <c r="M329" s="71" t="s">
        <v>298</v>
      </c>
      <c r="N329" s="71">
        <v>20.245159149999999</v>
      </c>
      <c r="O329" s="71">
        <v>92.807418819999995</v>
      </c>
      <c r="P329" s="71" t="s">
        <v>799</v>
      </c>
      <c r="Q329" s="71" t="s">
        <v>780</v>
      </c>
      <c r="R329" s="430"/>
      <c r="S329" s="100"/>
      <c r="T329" s="105"/>
      <c r="U329" s="101"/>
      <c r="V329" s="71" t="s">
        <v>454</v>
      </c>
      <c r="W329" s="422"/>
      <c r="X329" s="542"/>
      <c r="Y329" s="542"/>
      <c r="Z329" s="542"/>
    </row>
    <row r="330" spans="1:26" s="71" customFormat="1" ht="14.25" customHeight="1">
      <c r="A330" s="423" t="s">
        <v>2707</v>
      </c>
      <c r="B330" s="426" t="s">
        <v>299</v>
      </c>
      <c r="C330" s="427" t="s">
        <v>458</v>
      </c>
      <c r="D330" s="421" t="s">
        <v>1654</v>
      </c>
      <c r="E330" s="419">
        <v>196163</v>
      </c>
      <c r="F330" s="419"/>
      <c r="G330" s="419"/>
      <c r="H330" s="419"/>
      <c r="I330" s="419"/>
      <c r="J330" s="419" t="s">
        <v>804</v>
      </c>
      <c r="K330" s="419" t="s">
        <v>798</v>
      </c>
      <c r="L330" s="419" t="s">
        <v>804</v>
      </c>
      <c r="M330" s="419" t="s">
        <v>298</v>
      </c>
      <c r="N330" s="419">
        <v>20.27263069</v>
      </c>
      <c r="O330" s="419">
        <v>92.843261720000001</v>
      </c>
      <c r="P330" s="419" t="s">
        <v>923</v>
      </c>
      <c r="Q330" s="419" t="s">
        <v>762</v>
      </c>
      <c r="R330" s="430"/>
      <c r="S330" s="423"/>
      <c r="T330" s="442">
        <v>42811</v>
      </c>
      <c r="U330" s="424"/>
      <c r="V330" s="419"/>
      <c r="W330" s="422"/>
      <c r="X330" s="542"/>
      <c r="Y330" s="542"/>
      <c r="Z330" s="542"/>
    </row>
    <row r="331" spans="1:26" s="71" customFormat="1" ht="14.25" customHeight="1">
      <c r="A331" s="423" t="s">
        <v>2707</v>
      </c>
      <c r="B331" s="420" t="s">
        <v>299</v>
      </c>
      <c r="C331" s="420" t="s">
        <v>2638</v>
      </c>
      <c r="D331" s="472"/>
      <c r="E331" s="419">
        <v>196125</v>
      </c>
      <c r="F331" s="419" t="s">
        <v>2638</v>
      </c>
      <c r="J331" s="71" t="s">
        <v>798</v>
      </c>
      <c r="K331" s="420" t="s">
        <v>798</v>
      </c>
      <c r="L331" s="419" t="s">
        <v>798</v>
      </c>
      <c r="N331" s="71">
        <v>20.2105598449707</v>
      </c>
      <c r="O331" s="419">
        <v>92.836456298828097</v>
      </c>
      <c r="R331" s="422"/>
      <c r="S331" s="422"/>
      <c r="T331" s="105"/>
      <c r="U331" s="101"/>
      <c r="W331" s="422"/>
      <c r="X331" s="542"/>
      <c r="Y331" s="542"/>
      <c r="Z331" s="542"/>
    </row>
    <row r="332" spans="1:26" s="71" customFormat="1" ht="14.25" customHeight="1">
      <c r="A332" s="423" t="s">
        <v>2707</v>
      </c>
      <c r="B332" s="426" t="s">
        <v>299</v>
      </c>
      <c r="C332" s="427" t="s">
        <v>435</v>
      </c>
      <c r="D332" s="472" t="s">
        <v>2787</v>
      </c>
      <c r="E332" s="419" t="s">
        <v>1365</v>
      </c>
      <c r="F332" s="419" t="s">
        <v>419</v>
      </c>
      <c r="G332" s="419" t="s">
        <v>419</v>
      </c>
      <c r="H332" s="419" t="s">
        <v>42</v>
      </c>
      <c r="I332" s="419"/>
      <c r="J332" s="419" t="s">
        <v>44</v>
      </c>
      <c r="K332" s="419" t="s">
        <v>44</v>
      </c>
      <c r="L332" s="419" t="s">
        <v>794</v>
      </c>
      <c r="M332" s="419" t="s">
        <v>795</v>
      </c>
      <c r="N332" s="419">
        <v>20.185917</v>
      </c>
      <c r="O332" s="419">
        <v>92.831000000000003</v>
      </c>
      <c r="P332" s="419" t="s">
        <v>761</v>
      </c>
      <c r="Q332" s="419" t="s">
        <v>780</v>
      </c>
      <c r="R332" s="422">
        <v>621</v>
      </c>
      <c r="S332" s="423">
        <v>3379</v>
      </c>
      <c r="T332" s="442"/>
      <c r="U332" s="424"/>
      <c r="V332" s="419" t="s">
        <v>869</v>
      </c>
      <c r="W332" s="422"/>
      <c r="X332" s="542">
        <v>62</v>
      </c>
      <c r="Y332" s="542">
        <v>335</v>
      </c>
      <c r="Z332" s="542">
        <v>397</v>
      </c>
    </row>
    <row r="333" spans="1:26" s="71" customFormat="1" ht="14.25" customHeight="1">
      <c r="A333" s="423" t="s">
        <v>2707</v>
      </c>
      <c r="B333" s="426" t="s">
        <v>299</v>
      </c>
      <c r="C333" s="427" t="s">
        <v>451</v>
      </c>
      <c r="D333" s="421" t="s">
        <v>1654</v>
      </c>
      <c r="E333" s="71">
        <v>196139</v>
      </c>
      <c r="J333" s="71" t="s">
        <v>798</v>
      </c>
      <c r="K333" s="71" t="s">
        <v>798</v>
      </c>
      <c r="L333" s="71" t="s">
        <v>798</v>
      </c>
      <c r="M333" s="71" t="s">
        <v>795</v>
      </c>
      <c r="N333" s="71">
        <v>20.2302</v>
      </c>
      <c r="O333" s="71">
        <v>92.817999999999998</v>
      </c>
      <c r="P333" s="71" t="s">
        <v>799</v>
      </c>
      <c r="Q333" s="71" t="s">
        <v>780</v>
      </c>
      <c r="R333" s="430"/>
      <c r="S333" s="100"/>
      <c r="T333" s="105"/>
      <c r="U333" s="101"/>
      <c r="V333" s="71" t="s">
        <v>451</v>
      </c>
      <c r="W333" s="422"/>
      <c r="X333" s="542"/>
      <c r="Y333" s="542"/>
      <c r="Z333" s="542"/>
    </row>
    <row r="334" spans="1:26" s="71" customFormat="1" ht="14.25" customHeight="1">
      <c r="A334" s="423" t="s">
        <v>2707</v>
      </c>
      <c r="B334" s="426" t="s">
        <v>299</v>
      </c>
      <c r="C334" s="427" t="s">
        <v>1880</v>
      </c>
      <c r="D334" s="421" t="s">
        <v>1874</v>
      </c>
      <c r="F334" s="419"/>
      <c r="J334" s="71" t="s">
        <v>798</v>
      </c>
      <c r="K334" s="419" t="s">
        <v>798</v>
      </c>
      <c r="L334" s="419" t="s">
        <v>798</v>
      </c>
      <c r="P334" s="71" t="s">
        <v>799</v>
      </c>
      <c r="R334" s="430"/>
      <c r="S334" s="423"/>
      <c r="T334" s="105"/>
      <c r="U334" s="101"/>
      <c r="W334" s="422"/>
      <c r="X334" s="542"/>
      <c r="Y334" s="542"/>
      <c r="Z334" s="542"/>
    </row>
    <row r="335" spans="1:26" s="71" customFormat="1" ht="14.25" customHeight="1">
      <c r="A335" s="423" t="s">
        <v>2707</v>
      </c>
      <c r="B335" s="426" t="s">
        <v>299</v>
      </c>
      <c r="C335" s="427" t="s">
        <v>1878</v>
      </c>
      <c r="D335" s="421" t="s">
        <v>1874</v>
      </c>
      <c r="J335" s="71" t="s">
        <v>798</v>
      </c>
      <c r="K335" s="71" t="s">
        <v>798</v>
      </c>
      <c r="L335" s="71" t="s">
        <v>798</v>
      </c>
      <c r="P335" s="71" t="s">
        <v>799</v>
      </c>
      <c r="R335" s="430"/>
      <c r="S335" s="423"/>
      <c r="T335" s="105"/>
      <c r="U335" s="101"/>
      <c r="W335" s="422"/>
      <c r="X335" s="542"/>
      <c r="Y335" s="542"/>
      <c r="Z335" s="542"/>
    </row>
    <row r="336" spans="1:26" s="71" customFormat="1" ht="14.25" customHeight="1">
      <c r="A336" s="423" t="s">
        <v>2707</v>
      </c>
      <c r="B336" s="426" t="s">
        <v>299</v>
      </c>
      <c r="C336" s="427" t="s">
        <v>2029</v>
      </c>
      <c r="D336" s="421"/>
      <c r="J336" s="71" t="s">
        <v>798</v>
      </c>
      <c r="K336" s="419" t="s">
        <v>798</v>
      </c>
      <c r="L336" s="419" t="s">
        <v>798</v>
      </c>
      <c r="P336" s="71" t="s">
        <v>799</v>
      </c>
      <c r="R336" s="430"/>
      <c r="S336" s="423"/>
      <c r="T336" s="105">
        <v>43297</v>
      </c>
      <c r="U336" s="101"/>
      <c r="W336" s="422"/>
      <c r="X336" s="542"/>
      <c r="Y336" s="542"/>
      <c r="Z336" s="542"/>
    </row>
    <row r="337" spans="1:26" s="71" customFormat="1" ht="14.25" customHeight="1">
      <c r="A337" s="423" t="s">
        <v>2707</v>
      </c>
      <c r="B337" s="426" t="s">
        <v>299</v>
      </c>
      <c r="C337" s="427" t="s">
        <v>446</v>
      </c>
      <c r="D337" s="421" t="s">
        <v>1654</v>
      </c>
      <c r="E337" s="71">
        <v>196144</v>
      </c>
      <c r="J337" s="71" t="s">
        <v>798</v>
      </c>
      <c r="K337" s="419" t="s">
        <v>798</v>
      </c>
      <c r="L337" s="419" t="s">
        <v>798</v>
      </c>
      <c r="M337" s="71" t="s">
        <v>795</v>
      </c>
      <c r="N337" s="71">
        <v>20.212700000000002</v>
      </c>
      <c r="O337" s="71">
        <v>92.820800000000006</v>
      </c>
      <c r="P337" s="71" t="s">
        <v>799</v>
      </c>
      <c r="Q337" s="71" t="s">
        <v>780</v>
      </c>
      <c r="R337" s="430"/>
      <c r="S337" s="423"/>
      <c r="T337" s="105"/>
      <c r="U337" s="101"/>
      <c r="V337" s="71" t="s">
        <v>446</v>
      </c>
      <c r="W337" s="422"/>
      <c r="X337" s="542"/>
      <c r="Y337" s="542"/>
      <c r="Z337" s="542"/>
    </row>
    <row r="338" spans="1:26" s="71" customFormat="1" ht="14.25" customHeight="1">
      <c r="A338" s="423" t="s">
        <v>2707</v>
      </c>
      <c r="B338" s="426" t="s">
        <v>299</v>
      </c>
      <c r="C338" s="427" t="s">
        <v>875</v>
      </c>
      <c r="D338" s="421" t="s">
        <v>1654</v>
      </c>
      <c r="E338" s="71">
        <v>196145</v>
      </c>
      <c r="J338" s="71" t="s">
        <v>798</v>
      </c>
      <c r="K338" s="71" t="s">
        <v>798</v>
      </c>
      <c r="L338" s="71" t="s">
        <v>798</v>
      </c>
      <c r="M338" s="71" t="s">
        <v>795</v>
      </c>
      <c r="N338" s="71">
        <v>20.219509120000001</v>
      </c>
      <c r="O338" s="71">
        <v>92.811332699999994</v>
      </c>
      <c r="P338" s="71" t="s">
        <v>799</v>
      </c>
      <c r="Q338" s="71" t="s">
        <v>762</v>
      </c>
      <c r="R338" s="430"/>
      <c r="S338" s="423"/>
      <c r="T338" s="105">
        <v>42811</v>
      </c>
      <c r="U338" s="101"/>
      <c r="W338" s="422"/>
      <c r="X338" s="542"/>
      <c r="Y338" s="542"/>
      <c r="Z338" s="542"/>
    </row>
    <row r="339" spans="1:26" s="71" customFormat="1" ht="14.25" customHeight="1">
      <c r="A339" s="423" t="s">
        <v>2707</v>
      </c>
      <c r="B339" s="426" t="s">
        <v>299</v>
      </c>
      <c r="C339" s="427" t="s">
        <v>455</v>
      </c>
      <c r="D339" s="421" t="s">
        <v>1654</v>
      </c>
      <c r="E339" s="71">
        <v>196178</v>
      </c>
      <c r="J339" s="71" t="s">
        <v>804</v>
      </c>
      <c r="K339" s="71" t="s">
        <v>798</v>
      </c>
      <c r="L339" s="71" t="s">
        <v>804</v>
      </c>
      <c r="M339" s="71" t="s">
        <v>298</v>
      </c>
      <c r="N339" s="71">
        <v>20.26078987</v>
      </c>
      <c r="O339" s="71">
        <v>92.878593440000003</v>
      </c>
      <c r="P339" s="71" t="s">
        <v>923</v>
      </c>
      <c r="Q339" s="71" t="s">
        <v>762</v>
      </c>
      <c r="R339" s="430"/>
      <c r="S339" s="423"/>
      <c r="T339" s="105">
        <v>42811</v>
      </c>
      <c r="U339" s="101"/>
      <c r="W339" s="422"/>
      <c r="X339" s="542"/>
      <c r="Y339" s="542"/>
      <c r="Z339" s="542"/>
    </row>
    <row r="340" spans="1:26" s="71" customFormat="1" ht="14.25" customHeight="1">
      <c r="A340" s="423" t="s">
        <v>2707</v>
      </c>
      <c r="B340" s="426" t="s">
        <v>299</v>
      </c>
      <c r="C340" s="427" t="s">
        <v>445</v>
      </c>
      <c r="D340" s="472" t="s">
        <v>2787</v>
      </c>
      <c r="E340" s="71" t="s">
        <v>1368</v>
      </c>
      <c r="F340" s="71" t="s">
        <v>1743</v>
      </c>
      <c r="G340" s="71" t="s">
        <v>444</v>
      </c>
      <c r="H340" s="71" t="s">
        <v>42</v>
      </c>
      <c r="J340" s="71" t="s">
        <v>44</v>
      </c>
      <c r="K340" s="71" t="s">
        <v>44</v>
      </c>
      <c r="L340" s="71" t="s">
        <v>794</v>
      </c>
      <c r="M340" s="71" t="s">
        <v>795</v>
      </c>
      <c r="N340" s="71">
        <v>20.206778</v>
      </c>
      <c r="O340" s="71">
        <v>92.774193999999994</v>
      </c>
      <c r="P340" s="71" t="s">
        <v>761</v>
      </c>
      <c r="Q340" s="71" t="s">
        <v>780</v>
      </c>
      <c r="R340" s="422">
        <v>729</v>
      </c>
      <c r="S340" s="423">
        <v>4175</v>
      </c>
      <c r="T340" s="105"/>
      <c r="U340" s="101"/>
      <c r="V340" s="71" t="s">
        <v>445</v>
      </c>
      <c r="W340" s="422"/>
      <c r="X340" s="542">
        <v>12</v>
      </c>
      <c r="Y340" s="542">
        <v>359</v>
      </c>
      <c r="Z340" s="542">
        <v>371</v>
      </c>
    </row>
    <row r="341" spans="1:26" s="71" customFormat="1" ht="14.25" customHeight="1">
      <c r="A341" s="423" t="s">
        <v>2707</v>
      </c>
      <c r="B341" s="426" t="s">
        <v>299</v>
      </c>
      <c r="C341" s="427" t="s">
        <v>440</v>
      </c>
      <c r="D341" s="421" t="s">
        <v>1654</v>
      </c>
      <c r="E341" s="71">
        <v>196156</v>
      </c>
      <c r="F341" s="71" t="s">
        <v>1743</v>
      </c>
      <c r="J341" s="71" t="s">
        <v>798</v>
      </c>
      <c r="K341" s="71" t="s">
        <v>798</v>
      </c>
      <c r="L341" s="71" t="s">
        <v>798</v>
      </c>
      <c r="M341" s="71" t="s">
        <v>795</v>
      </c>
      <c r="N341" s="71">
        <v>20.197549819999999</v>
      </c>
      <c r="O341" s="71">
        <v>92.785682679999994</v>
      </c>
      <c r="P341" s="71" t="s">
        <v>799</v>
      </c>
      <c r="Q341" s="71" t="s">
        <v>780</v>
      </c>
      <c r="R341" s="430"/>
      <c r="S341" s="423"/>
      <c r="T341" s="105"/>
      <c r="U341" s="101"/>
      <c r="V341" s="71" t="s">
        <v>440</v>
      </c>
      <c r="W341" s="422"/>
      <c r="X341" s="542"/>
      <c r="Y341" s="542"/>
      <c r="Z341" s="542"/>
    </row>
    <row r="342" spans="1:26" s="71" customFormat="1" ht="14.25" customHeight="1">
      <c r="A342" s="423" t="s">
        <v>2707</v>
      </c>
      <c r="B342" s="426" t="s">
        <v>299</v>
      </c>
      <c r="C342" s="427" t="s">
        <v>436</v>
      </c>
      <c r="D342" s="472" t="s">
        <v>2787</v>
      </c>
      <c r="E342" s="71" t="s">
        <v>1366</v>
      </c>
      <c r="F342" s="71" t="s">
        <v>1661</v>
      </c>
      <c r="G342" s="71" t="s">
        <v>1687</v>
      </c>
      <c r="H342" s="71" t="s">
        <v>42</v>
      </c>
      <c r="J342" s="71" t="s">
        <v>44</v>
      </c>
      <c r="K342" s="71" t="s">
        <v>44</v>
      </c>
      <c r="L342" s="71" t="s">
        <v>794</v>
      </c>
      <c r="M342" s="71" t="s">
        <v>795</v>
      </c>
      <c r="N342" s="71">
        <v>20.18994</v>
      </c>
      <c r="O342" s="71">
        <v>92.798880999999994</v>
      </c>
      <c r="P342" s="71" t="s">
        <v>761</v>
      </c>
      <c r="Q342" s="71" t="s">
        <v>780</v>
      </c>
      <c r="R342" s="422">
        <v>2728</v>
      </c>
      <c r="S342" s="423">
        <v>13812</v>
      </c>
      <c r="T342" s="105"/>
      <c r="U342" s="101"/>
      <c r="V342" s="71" t="s">
        <v>870</v>
      </c>
      <c r="W342" s="422"/>
      <c r="X342" s="542">
        <v>214</v>
      </c>
      <c r="Y342" s="542">
        <v>1333</v>
      </c>
      <c r="Z342" s="542">
        <v>1547</v>
      </c>
    </row>
    <row r="343" spans="1:26" s="71" customFormat="1" ht="14.25" customHeight="1">
      <c r="A343" s="423" t="s">
        <v>2707</v>
      </c>
      <c r="B343" s="426" t="s">
        <v>299</v>
      </c>
      <c r="C343" s="427" t="s">
        <v>434</v>
      </c>
      <c r="D343" s="472" t="s">
        <v>2787</v>
      </c>
      <c r="E343" s="71" t="s">
        <v>1364</v>
      </c>
      <c r="F343" s="419" t="s">
        <v>1661</v>
      </c>
      <c r="G343" s="71" t="s">
        <v>1687</v>
      </c>
      <c r="H343" s="71" t="s">
        <v>42</v>
      </c>
      <c r="J343" s="71" t="s">
        <v>44</v>
      </c>
      <c r="K343" s="71" t="s">
        <v>44</v>
      </c>
      <c r="L343" s="71" t="s">
        <v>794</v>
      </c>
      <c r="M343" s="71" t="s">
        <v>795</v>
      </c>
      <c r="N343" s="71">
        <v>20.185092000000001</v>
      </c>
      <c r="O343" s="71">
        <v>92.802295999999998</v>
      </c>
      <c r="P343" s="71" t="s">
        <v>761</v>
      </c>
      <c r="Q343" s="71" t="s">
        <v>780</v>
      </c>
      <c r="R343" s="422">
        <v>2259</v>
      </c>
      <c r="S343" s="423">
        <v>11375</v>
      </c>
      <c r="T343" s="105"/>
      <c r="U343" s="101"/>
      <c r="V343" s="71" t="s">
        <v>868</v>
      </c>
      <c r="W343" s="422"/>
      <c r="X343" s="542">
        <v>218</v>
      </c>
      <c r="Y343" s="542">
        <v>1169</v>
      </c>
      <c r="Z343" s="542">
        <v>1387</v>
      </c>
    </row>
    <row r="344" spans="1:26" s="71" customFormat="1" ht="14.25" customHeight="1">
      <c r="A344" s="423" t="s">
        <v>2707</v>
      </c>
      <c r="B344" s="426" t="s">
        <v>299</v>
      </c>
      <c r="C344" s="427" t="s">
        <v>444</v>
      </c>
      <c r="D344" s="421" t="s">
        <v>1654</v>
      </c>
      <c r="E344" s="419">
        <v>196158</v>
      </c>
      <c r="F344" s="419"/>
      <c r="G344" s="419"/>
      <c r="H344" s="419"/>
      <c r="I344" s="419"/>
      <c r="J344" s="419" t="s">
        <v>804</v>
      </c>
      <c r="K344" s="71" t="s">
        <v>798</v>
      </c>
      <c r="L344" s="71" t="s">
        <v>804</v>
      </c>
      <c r="M344" s="71" t="s">
        <v>795</v>
      </c>
      <c r="N344" s="419">
        <v>20.2043705</v>
      </c>
      <c r="O344" s="419">
        <v>92.780357359999996</v>
      </c>
      <c r="P344" s="71" t="s">
        <v>923</v>
      </c>
      <c r="Q344" s="419" t="s">
        <v>762</v>
      </c>
      <c r="R344" s="430"/>
      <c r="S344" s="423"/>
      <c r="T344" s="442">
        <v>42811</v>
      </c>
      <c r="U344" s="424"/>
      <c r="V344" s="419"/>
      <c r="W344" s="422"/>
      <c r="X344" s="542"/>
      <c r="Y344" s="542"/>
      <c r="Z344" s="542"/>
    </row>
    <row r="345" spans="1:26" s="71" customFormat="1" ht="14.25" customHeight="1">
      <c r="A345" s="423" t="s">
        <v>2707</v>
      </c>
      <c r="B345" s="420" t="s">
        <v>299</v>
      </c>
      <c r="C345" s="420" t="s">
        <v>2640</v>
      </c>
      <c r="D345" s="472"/>
      <c r="E345" s="419">
        <v>220593</v>
      </c>
      <c r="F345" s="420" t="s">
        <v>454</v>
      </c>
      <c r="J345" s="71" t="s">
        <v>798</v>
      </c>
      <c r="K345" s="420" t="s">
        <v>798</v>
      </c>
      <c r="L345" s="420" t="s">
        <v>798</v>
      </c>
      <c r="N345" s="71">
        <v>20.261358000000001</v>
      </c>
      <c r="O345" s="71">
        <v>92.805672999999999</v>
      </c>
      <c r="R345" s="99"/>
      <c r="S345" s="422"/>
      <c r="T345" s="105"/>
      <c r="U345" s="101"/>
      <c r="W345" s="422"/>
      <c r="X345" s="542"/>
      <c r="Y345" s="542"/>
      <c r="Z345" s="542"/>
    </row>
    <row r="346" spans="1:26" s="71" customFormat="1" ht="14.25" customHeight="1">
      <c r="A346" s="423" t="s">
        <v>2707</v>
      </c>
      <c r="B346" s="426" t="s">
        <v>299</v>
      </c>
      <c r="C346" s="427" t="s">
        <v>839</v>
      </c>
      <c r="D346" s="421" t="s">
        <v>1654</v>
      </c>
      <c r="E346" s="419">
        <v>196142</v>
      </c>
      <c r="F346" s="419"/>
      <c r="J346" s="71" t="s">
        <v>798</v>
      </c>
      <c r="K346" s="419" t="s">
        <v>798</v>
      </c>
      <c r="L346" s="419" t="s">
        <v>798</v>
      </c>
      <c r="M346" s="71" t="s">
        <v>795</v>
      </c>
      <c r="N346" s="71">
        <v>20.122990000000001</v>
      </c>
      <c r="O346" s="71">
        <v>92.474298000000005</v>
      </c>
      <c r="P346" s="71" t="s">
        <v>799</v>
      </c>
      <c r="R346" s="430"/>
      <c r="S346" s="423"/>
      <c r="T346" s="105"/>
      <c r="U346" s="101"/>
      <c r="V346" s="71" t="s">
        <v>839</v>
      </c>
      <c r="W346" s="422"/>
      <c r="X346" s="542"/>
      <c r="Y346" s="542"/>
      <c r="Z346" s="542"/>
    </row>
    <row r="347" spans="1:26" s="71" customFormat="1" ht="14.25" customHeight="1">
      <c r="A347" s="423" t="s">
        <v>2707</v>
      </c>
      <c r="B347" s="426" t="s">
        <v>299</v>
      </c>
      <c r="C347" s="427" t="s">
        <v>841</v>
      </c>
      <c r="D347" s="421" t="s">
        <v>1654</v>
      </c>
      <c r="E347" s="419">
        <v>196141</v>
      </c>
      <c r="F347" s="419"/>
      <c r="G347" s="419"/>
      <c r="H347" s="419"/>
      <c r="I347" s="419"/>
      <c r="J347" s="419" t="s">
        <v>798</v>
      </c>
      <c r="K347" s="71" t="s">
        <v>798</v>
      </c>
      <c r="L347" s="419" t="s">
        <v>798</v>
      </c>
      <c r="M347" s="71" t="s">
        <v>298</v>
      </c>
      <c r="N347" s="419">
        <v>20.131148</v>
      </c>
      <c r="O347" s="419">
        <v>92.462236000000004</v>
      </c>
      <c r="P347" s="71" t="s">
        <v>799</v>
      </c>
      <c r="Q347" s="419"/>
      <c r="R347" s="430"/>
      <c r="S347" s="423"/>
      <c r="T347" s="442"/>
      <c r="U347" s="424"/>
      <c r="V347" s="419" t="s">
        <v>841</v>
      </c>
      <c r="W347" s="422"/>
      <c r="X347" s="542"/>
      <c r="Y347" s="542"/>
      <c r="Z347" s="542"/>
    </row>
    <row r="348" spans="1:26" s="71" customFormat="1" ht="14.25" customHeight="1">
      <c r="A348" s="423" t="s">
        <v>2707</v>
      </c>
      <c r="B348" s="426" t="s">
        <v>299</v>
      </c>
      <c r="C348" s="427" t="s">
        <v>842</v>
      </c>
      <c r="D348" s="421" t="s">
        <v>1654</v>
      </c>
      <c r="E348" s="419">
        <v>196141</v>
      </c>
      <c r="F348" s="419"/>
      <c r="G348" s="419"/>
      <c r="H348" s="419"/>
      <c r="I348" s="419"/>
      <c r="J348" s="419" t="s">
        <v>798</v>
      </c>
      <c r="K348" s="71" t="s">
        <v>798</v>
      </c>
      <c r="L348" s="71" t="s">
        <v>798</v>
      </c>
      <c r="M348" s="71" t="s">
        <v>298</v>
      </c>
      <c r="N348" s="419">
        <v>20.131148</v>
      </c>
      <c r="O348" s="419">
        <v>92.462236000000004</v>
      </c>
      <c r="P348" s="71" t="s">
        <v>799</v>
      </c>
      <c r="Q348" s="419"/>
      <c r="R348" s="430"/>
      <c r="S348" s="423"/>
      <c r="T348" s="442"/>
      <c r="U348" s="424"/>
      <c r="V348" s="419" t="s">
        <v>842</v>
      </c>
      <c r="W348" s="422"/>
      <c r="X348" s="542"/>
      <c r="Y348" s="542"/>
      <c r="Z348" s="542"/>
    </row>
    <row r="349" spans="1:26" s="71" customFormat="1" ht="14.25" customHeight="1">
      <c r="A349" s="423" t="s">
        <v>2707</v>
      </c>
      <c r="B349" s="426" t="s">
        <v>299</v>
      </c>
      <c r="C349" s="427" t="s">
        <v>304</v>
      </c>
      <c r="D349" s="421" t="s">
        <v>1654</v>
      </c>
      <c r="E349" s="419"/>
      <c r="J349" s="419" t="s">
        <v>798</v>
      </c>
      <c r="K349" s="419" t="s">
        <v>798</v>
      </c>
      <c r="L349" s="419" t="s">
        <v>798</v>
      </c>
      <c r="M349" s="71" t="s">
        <v>795</v>
      </c>
      <c r="P349" s="71" t="s">
        <v>799</v>
      </c>
      <c r="Q349" s="71" t="s">
        <v>780</v>
      </c>
      <c r="R349" s="430"/>
      <c r="S349" s="423"/>
      <c r="T349" s="105"/>
      <c r="U349" s="101"/>
      <c r="V349" s="71" t="s">
        <v>873</v>
      </c>
      <c r="W349" s="422"/>
      <c r="X349" s="542"/>
      <c r="Y349" s="542"/>
      <c r="Z349" s="542"/>
    </row>
    <row r="350" spans="1:26" s="71" customFormat="1" ht="14.25" customHeight="1">
      <c r="A350" s="423" t="s">
        <v>2707</v>
      </c>
      <c r="B350" s="426" t="s">
        <v>299</v>
      </c>
      <c r="C350" s="427" t="s">
        <v>2312</v>
      </c>
      <c r="D350" s="421"/>
      <c r="E350" s="419" t="s">
        <v>1367</v>
      </c>
      <c r="F350" s="71" t="s">
        <v>1662</v>
      </c>
      <c r="G350" s="71" t="s">
        <v>1663</v>
      </c>
      <c r="J350" s="71" t="s">
        <v>44</v>
      </c>
      <c r="K350" s="71" t="s">
        <v>44</v>
      </c>
      <c r="L350" s="71" t="s">
        <v>794</v>
      </c>
      <c r="M350" s="71" t="s">
        <v>795</v>
      </c>
      <c r="N350" s="71">
        <v>20.207284999999999</v>
      </c>
      <c r="O350" s="71">
        <v>92.788177000000005</v>
      </c>
      <c r="P350" s="71" t="s">
        <v>761</v>
      </c>
      <c r="Q350" s="71" t="s">
        <v>780</v>
      </c>
      <c r="R350" s="430"/>
      <c r="S350" s="423"/>
      <c r="T350" s="105">
        <v>43488</v>
      </c>
      <c r="U350" s="101"/>
      <c r="V350" s="71" t="s">
        <v>873</v>
      </c>
      <c r="W350" s="422"/>
      <c r="X350" s="542"/>
      <c r="Y350" s="542"/>
      <c r="Z350" s="542"/>
    </row>
    <row r="351" spans="1:26" s="71" customFormat="1" ht="14.25" customHeight="1">
      <c r="A351" s="423" t="s">
        <v>2707</v>
      </c>
      <c r="B351" s="426" t="s">
        <v>299</v>
      </c>
      <c r="C351" s="427" t="s">
        <v>843</v>
      </c>
      <c r="D351" s="421" t="s">
        <v>1654</v>
      </c>
      <c r="E351" s="419">
        <v>196130</v>
      </c>
      <c r="J351" s="71" t="s">
        <v>798</v>
      </c>
      <c r="K351" s="71" t="s">
        <v>798</v>
      </c>
      <c r="L351" s="71" t="s">
        <v>798</v>
      </c>
      <c r="M351" s="71" t="s">
        <v>298</v>
      </c>
      <c r="N351" s="71">
        <v>20.142474</v>
      </c>
      <c r="O351" s="71">
        <v>92.494243999999995</v>
      </c>
      <c r="P351" s="71" t="s">
        <v>799</v>
      </c>
      <c r="R351" s="430"/>
      <c r="S351" s="423"/>
      <c r="T351" s="105"/>
      <c r="U351" s="101"/>
      <c r="V351" s="71" t="s">
        <v>843</v>
      </c>
      <c r="W351" s="422"/>
      <c r="X351" s="542"/>
      <c r="Y351" s="542"/>
      <c r="Z351" s="542"/>
    </row>
    <row r="352" spans="1:26" s="71" customFormat="1" ht="14.25" customHeight="1">
      <c r="A352" s="423" t="s">
        <v>2707</v>
      </c>
      <c r="B352" s="420" t="s">
        <v>299</v>
      </c>
      <c r="C352" s="420" t="s">
        <v>2639</v>
      </c>
      <c r="D352" s="472"/>
      <c r="E352" s="419">
        <v>196130</v>
      </c>
      <c r="J352" s="71" t="s">
        <v>798</v>
      </c>
      <c r="K352" s="420" t="s">
        <v>798</v>
      </c>
      <c r="L352" s="420" t="s">
        <v>798</v>
      </c>
      <c r="M352" s="419" t="s">
        <v>298</v>
      </c>
      <c r="N352" s="419">
        <v>20.142474</v>
      </c>
      <c r="O352" s="419">
        <v>92.494243999999995</v>
      </c>
      <c r="P352" s="419" t="s">
        <v>799</v>
      </c>
      <c r="R352" s="426"/>
      <c r="S352" s="427"/>
      <c r="T352" s="105"/>
      <c r="U352" s="101"/>
      <c r="W352" s="422"/>
      <c r="X352" s="542"/>
      <c r="Y352" s="542"/>
      <c r="Z352" s="542"/>
    </row>
    <row r="353" spans="1:26" s="71" customFormat="1" ht="14.25" customHeight="1">
      <c r="A353" s="423" t="s">
        <v>2707</v>
      </c>
      <c r="B353" s="426" t="s">
        <v>299</v>
      </c>
      <c r="C353" s="427" t="s">
        <v>2027</v>
      </c>
      <c r="D353" s="421"/>
      <c r="E353" s="71">
        <v>196162</v>
      </c>
      <c r="F353" s="71" t="s">
        <v>2026</v>
      </c>
      <c r="J353" s="71" t="s">
        <v>798</v>
      </c>
      <c r="K353" s="71" t="s">
        <v>798</v>
      </c>
      <c r="L353" s="71" t="s">
        <v>798</v>
      </c>
      <c r="M353" s="71" t="s">
        <v>795</v>
      </c>
      <c r="N353" s="71">
        <v>20.239929199999999</v>
      </c>
      <c r="O353" s="71">
        <v>92.827529909999996</v>
      </c>
      <c r="P353" s="71" t="s">
        <v>799</v>
      </c>
      <c r="R353" s="430"/>
      <c r="S353" s="423"/>
      <c r="T353" s="105">
        <v>43294</v>
      </c>
      <c r="U353" s="101"/>
      <c r="W353" s="422"/>
      <c r="X353" s="542"/>
      <c r="Y353" s="542"/>
      <c r="Z353" s="542"/>
    </row>
    <row r="354" spans="1:26" s="71" customFormat="1" ht="14.25" customHeight="1">
      <c r="A354" s="423" t="s">
        <v>2707</v>
      </c>
      <c r="B354" s="420" t="s">
        <v>299</v>
      </c>
      <c r="C354" s="420" t="s">
        <v>2641</v>
      </c>
      <c r="D354" s="472"/>
      <c r="E354" s="420">
        <v>196131</v>
      </c>
      <c r="F354" s="420" t="s">
        <v>878</v>
      </c>
      <c r="J354" s="71" t="s">
        <v>798</v>
      </c>
      <c r="K354" s="420" t="s">
        <v>798</v>
      </c>
      <c r="L354" s="420" t="s">
        <v>798</v>
      </c>
      <c r="N354" s="71">
        <v>20.239799499511701</v>
      </c>
      <c r="O354" s="71">
        <v>92.825088500976605</v>
      </c>
      <c r="R354" s="422"/>
      <c r="S354" s="423"/>
      <c r="T354" s="105"/>
      <c r="U354" s="101"/>
      <c r="W354" s="422"/>
      <c r="X354" s="542"/>
      <c r="Y354" s="542"/>
      <c r="Z354" s="542"/>
    </row>
    <row r="355" spans="1:26" s="71" customFormat="1" ht="14.25" customHeight="1">
      <c r="A355" s="423" t="s">
        <v>2707</v>
      </c>
      <c r="B355" s="420" t="s">
        <v>299</v>
      </c>
      <c r="C355" s="420" t="s">
        <v>2644</v>
      </c>
      <c r="D355" s="421"/>
      <c r="J355" s="71" t="s">
        <v>798</v>
      </c>
      <c r="K355" s="420" t="s">
        <v>798</v>
      </c>
      <c r="L355" s="420" t="s">
        <v>798</v>
      </c>
      <c r="R355" s="420"/>
      <c r="S355" s="420"/>
      <c r="T355" s="105"/>
      <c r="U355" s="101"/>
      <c r="W355" s="422"/>
      <c r="X355" s="542"/>
      <c r="Y355" s="542"/>
      <c r="Z355" s="542"/>
    </row>
    <row r="356" spans="1:26" s="71" customFormat="1" ht="14.25" customHeight="1">
      <c r="A356" s="423" t="s">
        <v>2707</v>
      </c>
      <c r="B356" s="426" t="s">
        <v>299</v>
      </c>
      <c r="C356" s="427" t="s">
        <v>849</v>
      </c>
      <c r="D356" s="421" t="s">
        <v>1655</v>
      </c>
      <c r="E356" s="71" t="s">
        <v>1347</v>
      </c>
      <c r="F356" s="71" t="s">
        <v>1684</v>
      </c>
      <c r="G356" s="71" t="s">
        <v>1685</v>
      </c>
      <c r="J356" s="71" t="s">
        <v>44</v>
      </c>
      <c r="K356" s="419" t="s">
        <v>44</v>
      </c>
      <c r="L356" s="419" t="s">
        <v>760</v>
      </c>
      <c r="M356" s="71" t="s">
        <v>298</v>
      </c>
      <c r="N356" s="71">
        <v>20.151471999999998</v>
      </c>
      <c r="O356" s="71">
        <v>92.887277999999995</v>
      </c>
      <c r="P356" s="71" t="s">
        <v>761</v>
      </c>
      <c r="R356" s="430"/>
      <c r="S356" s="423"/>
      <c r="T356" s="105"/>
      <c r="U356" s="101"/>
      <c r="V356" s="71" t="s">
        <v>849</v>
      </c>
      <c r="W356" s="422"/>
      <c r="X356" s="542"/>
      <c r="Y356" s="542"/>
      <c r="Z356" s="542"/>
    </row>
    <row r="357" spans="1:26" s="71" customFormat="1" ht="14.25" customHeight="1">
      <c r="A357" s="423" t="s">
        <v>2707</v>
      </c>
      <c r="B357" s="426" t="s">
        <v>299</v>
      </c>
      <c r="C357" s="427" t="s">
        <v>422</v>
      </c>
      <c r="D357" s="472" t="s">
        <v>2787</v>
      </c>
      <c r="E357" s="71" t="s">
        <v>1348</v>
      </c>
      <c r="F357" s="71" t="s">
        <v>1684</v>
      </c>
      <c r="G357" s="71" t="s">
        <v>1685</v>
      </c>
      <c r="J357" s="71" t="s">
        <v>798</v>
      </c>
      <c r="K357" s="71" t="s">
        <v>798</v>
      </c>
      <c r="L357" s="419" t="s">
        <v>821</v>
      </c>
      <c r="M357" s="71" t="s">
        <v>298</v>
      </c>
      <c r="N357" s="71">
        <v>20.151471999999998</v>
      </c>
      <c r="O357" s="71">
        <v>92.887277999999995</v>
      </c>
      <c r="P357" s="419" t="s">
        <v>799</v>
      </c>
      <c r="Q357" s="71" t="s">
        <v>780</v>
      </c>
      <c r="R357" s="99">
        <v>249</v>
      </c>
      <c r="S357" s="423">
        <v>1282</v>
      </c>
      <c r="T357" s="105"/>
      <c r="U357" s="101"/>
      <c r="V357" s="71" t="s">
        <v>422</v>
      </c>
      <c r="W357" s="422"/>
      <c r="X357" s="542"/>
      <c r="Y357" s="542"/>
      <c r="Z357" s="542"/>
    </row>
    <row r="358" spans="1:26" s="71" customFormat="1" ht="14.25" customHeight="1">
      <c r="A358" s="423" t="s">
        <v>2707</v>
      </c>
      <c r="B358" s="426" t="s">
        <v>299</v>
      </c>
      <c r="C358" s="427" t="s">
        <v>423</v>
      </c>
      <c r="D358" s="472" t="s">
        <v>2787</v>
      </c>
      <c r="E358" s="71" t="s">
        <v>1349</v>
      </c>
      <c r="F358" s="71" t="s">
        <v>1684</v>
      </c>
      <c r="G358" s="71" t="s">
        <v>1685</v>
      </c>
      <c r="J358" s="71" t="s">
        <v>798</v>
      </c>
      <c r="K358" s="71" t="s">
        <v>798</v>
      </c>
      <c r="L358" s="71" t="s">
        <v>821</v>
      </c>
      <c r="M358" s="71" t="s">
        <v>298</v>
      </c>
      <c r="N358" s="71">
        <v>20.151471999999998</v>
      </c>
      <c r="O358" s="71">
        <v>92.887277999999995</v>
      </c>
      <c r="P358" s="71" t="s">
        <v>799</v>
      </c>
      <c r="Q358" s="71" t="s">
        <v>780</v>
      </c>
      <c r="R358" s="422">
        <v>420</v>
      </c>
      <c r="S358" s="423">
        <v>2200</v>
      </c>
      <c r="T358" s="105"/>
      <c r="U358" s="101"/>
      <c r="V358" s="71" t="s">
        <v>423</v>
      </c>
      <c r="W358" s="422"/>
      <c r="X358" s="542"/>
      <c r="Y358" s="542"/>
      <c r="Z358" s="542"/>
    </row>
    <row r="359" spans="1:26" s="71" customFormat="1" ht="14.25" customHeight="1">
      <c r="A359" s="423" t="s">
        <v>2707</v>
      </c>
      <c r="B359" s="552" t="s">
        <v>299</v>
      </c>
      <c r="C359" s="427" t="s">
        <v>443</v>
      </c>
      <c r="D359" s="472" t="s">
        <v>2787</v>
      </c>
      <c r="E359" s="419" t="s">
        <v>1367</v>
      </c>
      <c r="F359" s="419" t="s">
        <v>1743</v>
      </c>
      <c r="G359" s="419" t="s">
        <v>443</v>
      </c>
      <c r="H359" s="419" t="s">
        <v>42</v>
      </c>
      <c r="I359" s="419"/>
      <c r="J359" s="419" t="s">
        <v>44</v>
      </c>
      <c r="K359" s="542" t="s">
        <v>44</v>
      </c>
      <c r="L359" s="542" t="s">
        <v>794</v>
      </c>
      <c r="M359" s="419" t="s">
        <v>795</v>
      </c>
      <c r="N359" s="419">
        <v>20.202525000000001</v>
      </c>
      <c r="O359" s="419">
        <v>92.792479999999998</v>
      </c>
      <c r="P359" s="419" t="s">
        <v>761</v>
      </c>
      <c r="Q359" s="419" t="s">
        <v>780</v>
      </c>
      <c r="R359" s="422">
        <v>2682</v>
      </c>
      <c r="S359" s="549">
        <v>13653</v>
      </c>
      <c r="T359" s="442"/>
      <c r="U359" s="424"/>
      <c r="V359" s="419" t="s">
        <v>443</v>
      </c>
      <c r="W359" s="422"/>
      <c r="X359" s="542">
        <v>116</v>
      </c>
      <c r="Y359" s="542">
        <v>1099</v>
      </c>
      <c r="Z359" s="542">
        <v>1215</v>
      </c>
    </row>
    <row r="360" spans="1:26" s="71" customFormat="1" ht="14.25" customHeight="1">
      <c r="A360" s="423" t="s">
        <v>2707</v>
      </c>
      <c r="B360" s="546" t="s">
        <v>299</v>
      </c>
      <c r="C360" s="427" t="s">
        <v>441</v>
      </c>
      <c r="D360" s="472"/>
      <c r="E360" s="71">
        <v>196154</v>
      </c>
      <c r="J360" s="71" t="s">
        <v>798</v>
      </c>
      <c r="K360" s="546" t="s">
        <v>798</v>
      </c>
      <c r="L360" s="546" t="s">
        <v>798</v>
      </c>
      <c r="R360" s="422"/>
      <c r="S360" s="548"/>
      <c r="T360" s="105"/>
      <c r="U360" s="101"/>
      <c r="W360" s="422"/>
      <c r="X360" s="542"/>
      <c r="Y360" s="542"/>
      <c r="Z360" s="542"/>
    </row>
    <row r="361" spans="1:26" s="71" customFormat="1" ht="14.25" customHeight="1">
      <c r="A361" s="423" t="s">
        <v>2707</v>
      </c>
      <c r="B361" s="426" t="s">
        <v>299</v>
      </c>
      <c r="C361" s="427" t="s">
        <v>441</v>
      </c>
      <c r="D361" s="421" t="s">
        <v>1654</v>
      </c>
      <c r="E361" s="71">
        <v>196154</v>
      </c>
      <c r="J361" s="71" t="s">
        <v>798</v>
      </c>
      <c r="K361" s="71" t="s">
        <v>798</v>
      </c>
      <c r="L361" s="71" t="s">
        <v>798</v>
      </c>
      <c r="M361" s="71" t="s">
        <v>795</v>
      </c>
      <c r="N361" s="71">
        <v>20.201499999999999</v>
      </c>
      <c r="O361" s="71">
        <v>92.796599999999998</v>
      </c>
      <c r="P361" s="71" t="s">
        <v>799</v>
      </c>
      <c r="Q361" s="71" t="s">
        <v>780</v>
      </c>
      <c r="R361" s="430"/>
      <c r="S361" s="423"/>
      <c r="T361" s="105">
        <v>42745</v>
      </c>
      <c r="U361" s="101"/>
      <c r="W361" s="422"/>
      <c r="X361" s="542"/>
      <c r="Y361" s="542"/>
      <c r="Z361" s="542"/>
    </row>
    <row r="362" spans="1:26" s="71" customFormat="1" ht="14.25" customHeight="1">
      <c r="A362" s="423" t="s">
        <v>2707</v>
      </c>
      <c r="B362" s="426" t="s">
        <v>299</v>
      </c>
      <c r="C362" s="427" t="s">
        <v>437</v>
      </c>
      <c r="D362" s="421" t="s">
        <v>1654</v>
      </c>
      <c r="E362" s="71">
        <v>196155</v>
      </c>
      <c r="J362" s="71" t="s">
        <v>798</v>
      </c>
      <c r="K362" s="71" t="s">
        <v>798</v>
      </c>
      <c r="L362" s="71" t="s">
        <v>798</v>
      </c>
      <c r="M362" s="71" t="s">
        <v>795</v>
      </c>
      <c r="N362" s="71">
        <v>20.19171906</v>
      </c>
      <c r="O362" s="71">
        <v>92.808166499999999</v>
      </c>
      <c r="P362" s="71" t="s">
        <v>799</v>
      </c>
      <c r="Q362" s="71" t="s">
        <v>780</v>
      </c>
      <c r="R362" s="430"/>
      <c r="S362" s="423"/>
      <c r="T362" s="105"/>
      <c r="U362" s="101"/>
      <c r="V362" s="71" t="s">
        <v>437</v>
      </c>
      <c r="W362" s="422"/>
      <c r="X362" s="542"/>
      <c r="Y362" s="542"/>
      <c r="Z362" s="542"/>
    </row>
    <row r="363" spans="1:26" s="71" customFormat="1" ht="14.25" customHeight="1">
      <c r="A363" s="423" t="s">
        <v>2707</v>
      </c>
      <c r="B363" s="426" t="s">
        <v>299</v>
      </c>
      <c r="C363" s="427" t="s">
        <v>420</v>
      </c>
      <c r="D363" s="472" t="s">
        <v>2787</v>
      </c>
      <c r="E363" s="419" t="s">
        <v>1346</v>
      </c>
      <c r="F363" s="419" t="s">
        <v>1872</v>
      </c>
      <c r="G363" s="419" t="s">
        <v>1872</v>
      </c>
      <c r="H363" s="419"/>
      <c r="I363" s="419"/>
      <c r="J363" s="419" t="s">
        <v>798</v>
      </c>
      <c r="K363" s="419" t="s">
        <v>798</v>
      </c>
      <c r="L363" s="419" t="s">
        <v>821</v>
      </c>
      <c r="M363" s="419" t="s">
        <v>846</v>
      </c>
      <c r="N363" s="419">
        <v>20.148584</v>
      </c>
      <c r="O363" s="419">
        <v>92.880319999999998</v>
      </c>
      <c r="P363" s="419" t="s">
        <v>799</v>
      </c>
      <c r="Q363" s="419" t="s">
        <v>780</v>
      </c>
      <c r="R363" s="422">
        <v>72</v>
      </c>
      <c r="S363" s="423">
        <v>462</v>
      </c>
      <c r="T363" s="442"/>
      <c r="U363" s="424"/>
      <c r="V363" s="419" t="s">
        <v>420</v>
      </c>
      <c r="W363" s="422"/>
      <c r="X363" s="542"/>
      <c r="Y363" s="542"/>
      <c r="Z363" s="542"/>
    </row>
    <row r="364" spans="1:26" s="71" customFormat="1" ht="14.25" customHeight="1">
      <c r="A364" s="423" t="s">
        <v>2707</v>
      </c>
      <c r="B364" s="426" t="s">
        <v>299</v>
      </c>
      <c r="C364" s="427" t="s">
        <v>1902</v>
      </c>
      <c r="D364" s="472" t="s">
        <v>2787</v>
      </c>
      <c r="E364" s="71" t="s">
        <v>1351</v>
      </c>
      <c r="F364" s="71" t="s">
        <v>1872</v>
      </c>
      <c r="G364" s="71" t="s">
        <v>1872</v>
      </c>
      <c r="J364" s="71" t="s">
        <v>798</v>
      </c>
      <c r="K364" s="71" t="s">
        <v>798</v>
      </c>
      <c r="L364" s="71" t="s">
        <v>821</v>
      </c>
      <c r="M364" s="71" t="s">
        <v>298</v>
      </c>
      <c r="N364" s="71">
        <v>20.155805999999998</v>
      </c>
      <c r="O364" s="71">
        <v>92.879138999999995</v>
      </c>
      <c r="P364" s="71" t="s">
        <v>799</v>
      </c>
      <c r="Q364" s="71" t="s">
        <v>780</v>
      </c>
      <c r="R364" s="422">
        <v>151</v>
      </c>
      <c r="S364" s="423">
        <v>654</v>
      </c>
      <c r="T364" s="105"/>
      <c r="U364" s="101"/>
      <c r="V364" s="71" t="s">
        <v>424</v>
      </c>
      <c r="W364" s="422"/>
      <c r="X364" s="542"/>
      <c r="Y364" s="542"/>
      <c r="Z364" s="542"/>
    </row>
    <row r="365" spans="1:26" s="71" customFormat="1" ht="14.25" customHeight="1">
      <c r="A365" s="423" t="s">
        <v>2707</v>
      </c>
      <c r="B365" s="426" t="s">
        <v>299</v>
      </c>
      <c r="C365" s="427" t="s">
        <v>2023</v>
      </c>
      <c r="D365" s="421"/>
      <c r="E365" s="71">
        <v>196179</v>
      </c>
      <c r="F365" s="71" t="s">
        <v>2023</v>
      </c>
      <c r="J365" s="71" t="s">
        <v>798</v>
      </c>
      <c r="K365" s="71" t="s">
        <v>798</v>
      </c>
      <c r="L365" s="71" t="s">
        <v>798</v>
      </c>
      <c r="M365" s="71" t="s">
        <v>1910</v>
      </c>
      <c r="N365" s="71">
        <v>20.236970899999999</v>
      </c>
      <c r="O365" s="71">
        <v>92.877876279999995</v>
      </c>
      <c r="P365" s="71" t="s">
        <v>799</v>
      </c>
      <c r="R365" s="430"/>
      <c r="S365" s="423"/>
      <c r="T365" s="105">
        <v>43294</v>
      </c>
      <c r="U365" s="101"/>
      <c r="W365" s="422"/>
      <c r="X365" s="542"/>
      <c r="Y365" s="542"/>
      <c r="Z365" s="542"/>
    </row>
    <row r="366" spans="1:26" s="71" customFormat="1" ht="14.25" customHeight="1">
      <c r="A366" s="423" t="s">
        <v>2707</v>
      </c>
      <c r="B366" s="426" t="s">
        <v>299</v>
      </c>
      <c r="C366" s="427" t="s">
        <v>426</v>
      </c>
      <c r="D366" s="472" t="s">
        <v>2787</v>
      </c>
      <c r="E366" s="71" t="s">
        <v>1353</v>
      </c>
      <c r="F366" s="71" t="s">
        <v>419</v>
      </c>
      <c r="G366" s="71" t="s">
        <v>425</v>
      </c>
      <c r="H366" s="71" t="s">
        <v>42</v>
      </c>
      <c r="J366" s="71" t="s">
        <v>44</v>
      </c>
      <c r="K366" s="71" t="s">
        <v>44</v>
      </c>
      <c r="L366" s="71" t="s">
        <v>797</v>
      </c>
      <c r="M366" s="71" t="s">
        <v>795</v>
      </c>
      <c r="N366" s="71">
        <v>20.1585</v>
      </c>
      <c r="O366" s="71">
        <v>92.839416999999997</v>
      </c>
      <c r="P366" s="71" t="s">
        <v>761</v>
      </c>
      <c r="Q366" s="71" t="s">
        <v>780</v>
      </c>
      <c r="R366" s="422">
        <v>2270</v>
      </c>
      <c r="S366" s="423">
        <v>13069</v>
      </c>
      <c r="T366" s="105"/>
      <c r="U366" s="101"/>
      <c r="V366" s="71" t="s">
        <v>856</v>
      </c>
      <c r="W366" s="422"/>
      <c r="X366" s="542">
        <v>283</v>
      </c>
      <c r="Y366" s="542">
        <v>715</v>
      </c>
      <c r="Z366" s="542">
        <v>998</v>
      </c>
    </row>
    <row r="367" spans="1:26" s="71" customFormat="1" ht="14.25" customHeight="1">
      <c r="A367" s="423" t="s">
        <v>2707</v>
      </c>
      <c r="B367" s="426" t="s">
        <v>299</v>
      </c>
      <c r="C367" s="427" t="s">
        <v>852</v>
      </c>
      <c r="D367" s="421" t="s">
        <v>1655</v>
      </c>
      <c r="E367" s="419" t="s">
        <v>1352</v>
      </c>
      <c r="F367" s="419" t="s">
        <v>419</v>
      </c>
      <c r="G367" s="419" t="s">
        <v>425</v>
      </c>
      <c r="H367" s="419"/>
      <c r="J367" s="71" t="s">
        <v>44</v>
      </c>
      <c r="K367" s="71" t="s">
        <v>44</v>
      </c>
      <c r="L367" s="419" t="s">
        <v>760</v>
      </c>
      <c r="N367" s="419">
        <v>20.156842000000001</v>
      </c>
      <c r="O367" s="419">
        <v>92.837576999999996</v>
      </c>
      <c r="P367" s="419" t="s">
        <v>761</v>
      </c>
      <c r="R367" s="430"/>
      <c r="S367" s="423"/>
      <c r="T367" s="105"/>
      <c r="U367" s="424"/>
      <c r="V367" s="419" t="s">
        <v>853</v>
      </c>
      <c r="W367" s="422"/>
      <c r="X367" s="542"/>
      <c r="Y367" s="542"/>
      <c r="Z367" s="542"/>
    </row>
    <row r="368" spans="1:26" s="71" customFormat="1" ht="14.25" customHeight="1">
      <c r="A368" s="423" t="s">
        <v>2707</v>
      </c>
      <c r="B368" s="426" t="s">
        <v>299</v>
      </c>
      <c r="C368" s="427" t="s">
        <v>693</v>
      </c>
      <c r="D368" s="421" t="s">
        <v>1654</v>
      </c>
      <c r="E368" s="71">
        <v>196210</v>
      </c>
      <c r="J368" s="71" t="s">
        <v>798</v>
      </c>
      <c r="K368" s="71" t="s">
        <v>798</v>
      </c>
      <c r="L368" s="71" t="s">
        <v>798</v>
      </c>
      <c r="M368" s="71" t="s">
        <v>298</v>
      </c>
      <c r="N368" s="71">
        <v>20.16259956</v>
      </c>
      <c r="O368" s="71">
        <v>92.834457400000005</v>
      </c>
      <c r="P368" s="71" t="s">
        <v>799</v>
      </c>
      <c r="Q368" s="71" t="s">
        <v>780</v>
      </c>
      <c r="R368" s="430"/>
      <c r="S368" s="423"/>
      <c r="T368" s="105"/>
      <c r="U368" s="101"/>
      <c r="W368" s="422"/>
      <c r="X368" s="542"/>
      <c r="Y368" s="542"/>
      <c r="Z368" s="542"/>
    </row>
    <row r="369" spans="1:26" s="71" customFormat="1" ht="14.25" customHeight="1">
      <c r="A369" s="423" t="s">
        <v>2707</v>
      </c>
      <c r="B369" s="426" t="s">
        <v>299</v>
      </c>
      <c r="C369" s="427" t="s">
        <v>305</v>
      </c>
      <c r="D369" s="421" t="s">
        <v>1654</v>
      </c>
      <c r="E369" s="419"/>
      <c r="F369" s="419"/>
      <c r="G369" s="419"/>
      <c r="H369" s="419"/>
      <c r="J369" s="71" t="s">
        <v>798</v>
      </c>
      <c r="K369" s="71" t="s">
        <v>798</v>
      </c>
      <c r="L369" s="419" t="s">
        <v>798</v>
      </c>
      <c r="M369" s="71" t="s">
        <v>795</v>
      </c>
      <c r="N369" s="419"/>
      <c r="O369" s="419"/>
      <c r="P369" s="419" t="s">
        <v>799</v>
      </c>
      <c r="Q369" s="71" t="s">
        <v>762</v>
      </c>
      <c r="R369" s="430"/>
      <c r="S369" s="423"/>
      <c r="T369" s="105">
        <v>42811</v>
      </c>
      <c r="U369" s="424"/>
      <c r="V369" s="419"/>
      <c r="W369" s="422"/>
      <c r="X369" s="542"/>
      <c r="Y369" s="542"/>
      <c r="Z369" s="542"/>
    </row>
    <row r="370" spans="1:26" s="71" customFormat="1" ht="14.25" customHeight="1">
      <c r="A370" s="423" t="s">
        <v>2707</v>
      </c>
      <c r="B370" s="426" t="s">
        <v>299</v>
      </c>
      <c r="C370" s="427" t="s">
        <v>425</v>
      </c>
      <c r="D370" s="421" t="s">
        <v>1654</v>
      </c>
      <c r="E370" s="71">
        <v>196211</v>
      </c>
      <c r="J370" s="419" t="s">
        <v>798</v>
      </c>
      <c r="K370" s="419" t="s">
        <v>798</v>
      </c>
      <c r="L370" s="71" t="s">
        <v>798</v>
      </c>
      <c r="M370" s="71" t="s">
        <v>795</v>
      </c>
      <c r="N370" s="71">
        <v>20.15736008</v>
      </c>
      <c r="O370" s="71">
        <v>92.838653559999997</v>
      </c>
      <c r="P370" s="71" t="s">
        <v>799</v>
      </c>
      <c r="Q370" s="71" t="s">
        <v>780</v>
      </c>
      <c r="R370" s="430"/>
      <c r="S370" s="423"/>
      <c r="T370" s="105"/>
      <c r="U370" s="101"/>
      <c r="V370" s="71" t="s">
        <v>854</v>
      </c>
      <c r="W370" s="422"/>
      <c r="X370" s="542"/>
      <c r="Y370" s="542"/>
      <c r="Z370" s="542"/>
    </row>
    <row r="371" spans="1:26" s="71" customFormat="1" ht="14.25" customHeight="1">
      <c r="A371" s="423" t="s">
        <v>2707</v>
      </c>
      <c r="B371" s="426" t="s">
        <v>299</v>
      </c>
      <c r="C371" s="427" t="s">
        <v>421</v>
      </c>
      <c r="D371" s="421" t="s">
        <v>1654</v>
      </c>
      <c r="E371" s="419">
        <v>196209</v>
      </c>
      <c r="F371" s="420" t="s">
        <v>419</v>
      </c>
      <c r="G371" s="419"/>
      <c r="H371" s="419"/>
      <c r="J371" s="71" t="s">
        <v>798</v>
      </c>
      <c r="K371" s="71" t="s">
        <v>798</v>
      </c>
      <c r="L371" s="419" t="s">
        <v>798</v>
      </c>
      <c r="M371" s="71" t="s">
        <v>795</v>
      </c>
      <c r="N371" s="419">
        <v>20.147863431600001</v>
      </c>
      <c r="O371" s="419">
        <v>92.846768572000002</v>
      </c>
      <c r="P371" s="419" t="s">
        <v>799</v>
      </c>
      <c r="Q371" s="71" t="s">
        <v>762</v>
      </c>
      <c r="R371" s="430"/>
      <c r="S371" s="423"/>
      <c r="T371" s="105"/>
      <c r="U371" s="424"/>
      <c r="V371" s="419" t="s">
        <v>847</v>
      </c>
      <c r="W371" s="422"/>
      <c r="X371" s="542"/>
      <c r="Y371" s="542"/>
      <c r="Z371" s="542"/>
    </row>
    <row r="372" spans="1:26" s="71" customFormat="1" ht="14.25" customHeight="1">
      <c r="A372" s="423" t="s">
        <v>2707</v>
      </c>
      <c r="B372" s="426" t="s">
        <v>299</v>
      </c>
      <c r="C372" s="427" t="s">
        <v>855</v>
      </c>
      <c r="D372" s="421" t="s">
        <v>1654</v>
      </c>
      <c r="E372" s="419">
        <v>196211</v>
      </c>
      <c r="F372" s="419"/>
      <c r="G372" s="419"/>
      <c r="H372" s="419"/>
      <c r="I372" s="419"/>
      <c r="J372" s="419" t="s">
        <v>798</v>
      </c>
      <c r="K372" s="419" t="s">
        <v>798</v>
      </c>
      <c r="L372" s="419" t="s">
        <v>798</v>
      </c>
      <c r="M372" s="419" t="s">
        <v>795</v>
      </c>
      <c r="N372" s="419">
        <v>20.15736008</v>
      </c>
      <c r="O372" s="419">
        <v>92.838653559999997</v>
      </c>
      <c r="P372" s="419" t="s">
        <v>799</v>
      </c>
      <c r="Q372" s="419"/>
      <c r="R372" s="430"/>
      <c r="S372" s="423"/>
      <c r="T372" s="442"/>
      <c r="U372" s="424"/>
      <c r="V372" s="419" t="s">
        <v>855</v>
      </c>
      <c r="W372" s="422"/>
      <c r="X372" s="542"/>
      <c r="Y372" s="542"/>
      <c r="Z372" s="542"/>
    </row>
    <row r="373" spans="1:26" s="71" customFormat="1" ht="14.25" customHeight="1">
      <c r="A373" s="423" t="s">
        <v>2707</v>
      </c>
      <c r="B373" s="426" t="s">
        <v>299</v>
      </c>
      <c r="C373" s="427" t="s">
        <v>450</v>
      </c>
      <c r="D373" s="421" t="s">
        <v>1654</v>
      </c>
      <c r="E373" s="419">
        <v>196167</v>
      </c>
      <c r="F373" s="419" t="s">
        <v>450</v>
      </c>
      <c r="G373" s="419"/>
      <c r="H373" s="419"/>
      <c r="I373" s="419"/>
      <c r="J373" s="419" t="s">
        <v>798</v>
      </c>
      <c r="K373" s="419" t="s">
        <v>798</v>
      </c>
      <c r="L373" s="419" t="s">
        <v>798</v>
      </c>
      <c r="M373" s="419" t="s">
        <v>298</v>
      </c>
      <c r="N373" s="419">
        <v>20.22929001</v>
      </c>
      <c r="O373" s="419">
        <v>92.864669800000001</v>
      </c>
      <c r="P373" s="419" t="s">
        <v>799</v>
      </c>
      <c r="Q373" s="419" t="s">
        <v>762</v>
      </c>
      <c r="R373" s="430"/>
      <c r="S373" s="423"/>
      <c r="T373" s="442">
        <v>42811</v>
      </c>
      <c r="U373" s="424"/>
      <c r="V373" s="419"/>
      <c r="W373" s="422"/>
      <c r="X373" s="542"/>
      <c r="Y373" s="542"/>
      <c r="Z373" s="542"/>
    </row>
    <row r="374" spans="1:26" s="71" customFormat="1" ht="14.25" customHeight="1">
      <c r="A374" s="423" t="s">
        <v>2707</v>
      </c>
      <c r="B374" s="426" t="s">
        <v>299</v>
      </c>
      <c r="C374" s="427" t="s">
        <v>430</v>
      </c>
      <c r="D374" s="472" t="s">
        <v>2787</v>
      </c>
      <c r="E374" s="419" t="s">
        <v>1358</v>
      </c>
      <c r="F374" s="419" t="s">
        <v>419</v>
      </c>
      <c r="G374" s="419" t="s">
        <v>1742</v>
      </c>
      <c r="H374" s="419" t="s">
        <v>42</v>
      </c>
      <c r="J374" s="71" t="s">
        <v>44</v>
      </c>
      <c r="K374" s="71" t="s">
        <v>44</v>
      </c>
      <c r="L374" s="419" t="s">
        <v>794</v>
      </c>
      <c r="M374" s="71" t="s">
        <v>795</v>
      </c>
      <c r="N374" s="419">
        <v>20.179939999999998</v>
      </c>
      <c r="O374" s="419">
        <v>92.831879000000001</v>
      </c>
      <c r="P374" s="419" t="s">
        <v>761</v>
      </c>
      <c r="Q374" s="71" t="s">
        <v>780</v>
      </c>
      <c r="R374" s="422">
        <v>981</v>
      </c>
      <c r="S374" s="423">
        <v>5936</v>
      </c>
      <c r="T374" s="105"/>
      <c r="U374" s="424"/>
      <c r="V374" s="419" t="s">
        <v>863</v>
      </c>
      <c r="W374" s="422"/>
      <c r="X374" s="542">
        <v>111</v>
      </c>
      <c r="Y374" s="542">
        <v>853</v>
      </c>
      <c r="Z374" s="542">
        <v>964</v>
      </c>
    </row>
    <row r="375" spans="1:26" s="71" customFormat="1" ht="14.25" customHeight="1">
      <c r="A375" s="423" t="s">
        <v>2707</v>
      </c>
      <c r="B375" s="426" t="s">
        <v>299</v>
      </c>
      <c r="C375" s="427" t="s">
        <v>432</v>
      </c>
      <c r="D375" s="472" t="s">
        <v>2787</v>
      </c>
      <c r="E375" s="419" t="s">
        <v>1361</v>
      </c>
      <c r="F375" s="419"/>
      <c r="G375" s="419"/>
      <c r="H375" s="419" t="s">
        <v>42</v>
      </c>
      <c r="J375" s="71" t="s">
        <v>44</v>
      </c>
      <c r="K375" s="71" t="s">
        <v>44</v>
      </c>
      <c r="L375" s="419" t="s">
        <v>772</v>
      </c>
      <c r="M375" s="71" t="s">
        <v>795</v>
      </c>
      <c r="N375" s="419">
        <v>20.181742</v>
      </c>
      <c r="O375" s="419">
        <v>92.842230000000001</v>
      </c>
      <c r="P375" s="419" t="s">
        <v>773</v>
      </c>
      <c r="R375" s="422">
        <v>496</v>
      </c>
      <c r="S375" s="423">
        <v>2942</v>
      </c>
      <c r="T375" s="105">
        <v>42745</v>
      </c>
      <c r="U375" s="424" t="s">
        <v>857</v>
      </c>
      <c r="V375" s="419"/>
      <c r="W375" s="422"/>
      <c r="X375" s="542"/>
      <c r="Y375" s="542"/>
      <c r="Z375" s="542"/>
    </row>
    <row r="376" spans="1:26" s="71" customFormat="1" ht="14.25" customHeight="1">
      <c r="A376" s="423" t="s">
        <v>2707</v>
      </c>
      <c r="B376" s="426" t="s">
        <v>299</v>
      </c>
      <c r="C376" s="427" t="s">
        <v>2647</v>
      </c>
      <c r="D376" s="421" t="s">
        <v>1654</v>
      </c>
      <c r="J376" s="542" t="s">
        <v>798</v>
      </c>
      <c r="K376" s="542" t="s">
        <v>798</v>
      </c>
      <c r="L376" s="542" t="s">
        <v>798</v>
      </c>
      <c r="M376" s="71" t="s">
        <v>795</v>
      </c>
      <c r="N376" s="419"/>
      <c r="O376" s="419"/>
      <c r="P376" s="419" t="s">
        <v>923</v>
      </c>
      <c r="Q376" s="71" t="s">
        <v>762</v>
      </c>
      <c r="R376" s="430"/>
      <c r="S376" s="423"/>
      <c r="T376" s="105">
        <v>42811</v>
      </c>
      <c r="U376" s="101"/>
      <c r="W376" s="422"/>
      <c r="X376" s="542"/>
      <c r="Y376" s="542"/>
      <c r="Z376" s="542"/>
    </row>
    <row r="377" spans="1:26" s="71" customFormat="1" ht="14.25" customHeight="1">
      <c r="A377" s="423" t="s">
        <v>2707</v>
      </c>
      <c r="B377" s="426" t="s">
        <v>299</v>
      </c>
      <c r="C377" s="427" t="s">
        <v>438</v>
      </c>
      <c r="D377" s="421" t="s">
        <v>1654</v>
      </c>
      <c r="E377" s="71">
        <v>196147</v>
      </c>
      <c r="J377" s="71" t="s">
        <v>798</v>
      </c>
      <c r="K377" s="71" t="s">
        <v>798</v>
      </c>
      <c r="L377" s="71" t="s">
        <v>798</v>
      </c>
      <c r="M377" s="71" t="s">
        <v>795</v>
      </c>
      <c r="N377" s="71">
        <v>20.193460460000001</v>
      </c>
      <c r="O377" s="71">
        <v>92.867782590000004</v>
      </c>
      <c r="P377" s="419" t="s">
        <v>799</v>
      </c>
      <c r="Q377" s="71" t="s">
        <v>762</v>
      </c>
      <c r="R377" s="430"/>
      <c r="S377" s="423"/>
      <c r="T377" s="105">
        <v>42811</v>
      </c>
      <c r="U377" s="101"/>
      <c r="W377" s="422"/>
      <c r="X377" s="542"/>
      <c r="Y377" s="542"/>
      <c r="Z377" s="542"/>
    </row>
    <row r="378" spans="1:26" s="71" customFormat="1" ht="14.25" customHeight="1">
      <c r="A378" s="423" t="s">
        <v>2707</v>
      </c>
      <c r="B378" s="426" t="s">
        <v>299</v>
      </c>
      <c r="C378" s="427" t="s">
        <v>1146</v>
      </c>
      <c r="D378" s="421" t="s">
        <v>1654</v>
      </c>
      <c r="E378" s="419"/>
      <c r="F378" s="419"/>
      <c r="G378" s="419"/>
      <c r="H378" s="419"/>
      <c r="I378" s="419"/>
      <c r="J378" s="419" t="s">
        <v>798</v>
      </c>
      <c r="K378" s="419" t="s">
        <v>798</v>
      </c>
      <c r="L378" s="419" t="s">
        <v>798</v>
      </c>
      <c r="M378" s="419" t="s">
        <v>795</v>
      </c>
      <c r="N378" s="419"/>
      <c r="O378" s="419"/>
      <c r="P378" s="419" t="s">
        <v>799</v>
      </c>
      <c r="Q378" s="419" t="s">
        <v>780</v>
      </c>
      <c r="R378" s="430"/>
      <c r="S378" s="423"/>
      <c r="T378" s="442"/>
      <c r="U378" s="424"/>
      <c r="V378" s="419" t="s">
        <v>1146</v>
      </c>
      <c r="W378" s="422"/>
      <c r="X378" s="542"/>
      <c r="Y378" s="542"/>
      <c r="Z378" s="542"/>
    </row>
    <row r="379" spans="1:26" s="71" customFormat="1" ht="14.25" customHeight="1">
      <c r="A379" s="423" t="s">
        <v>2707</v>
      </c>
      <c r="B379" s="426" t="s">
        <v>299</v>
      </c>
      <c r="C379" s="427" t="s">
        <v>2251</v>
      </c>
      <c r="D379" s="421"/>
      <c r="E379" s="419">
        <v>196193</v>
      </c>
      <c r="F379" s="419" t="s">
        <v>2251</v>
      </c>
      <c r="G379" s="419"/>
      <c r="H379" s="419"/>
      <c r="I379" s="419"/>
      <c r="J379" s="419" t="s">
        <v>798</v>
      </c>
      <c r="K379" s="419" t="s">
        <v>798</v>
      </c>
      <c r="L379" s="419" t="s">
        <v>798</v>
      </c>
      <c r="M379" s="419"/>
      <c r="N379" s="419">
        <v>20.1663494110107</v>
      </c>
      <c r="O379" s="419">
        <v>92.871902465820298</v>
      </c>
      <c r="P379" s="419"/>
      <c r="Q379" s="419"/>
      <c r="R379" s="430"/>
      <c r="S379" s="423"/>
      <c r="T379" s="442"/>
      <c r="U379" s="424"/>
      <c r="V379" s="419"/>
      <c r="W379" s="422"/>
      <c r="X379" s="542"/>
      <c r="Y379" s="542"/>
      <c r="Z379" s="542"/>
    </row>
    <row r="380" spans="1:26" s="71" customFormat="1" ht="14.25" customHeight="1">
      <c r="A380" s="423" t="s">
        <v>2707</v>
      </c>
      <c r="B380" s="426" t="s">
        <v>299</v>
      </c>
      <c r="C380" s="427" t="s">
        <v>878</v>
      </c>
      <c r="D380" s="421" t="s">
        <v>1654</v>
      </c>
      <c r="E380" s="71">
        <v>196129</v>
      </c>
      <c r="F380" s="71" t="s">
        <v>878</v>
      </c>
      <c r="J380" s="71" t="s">
        <v>879</v>
      </c>
      <c r="K380" s="419" t="s">
        <v>798</v>
      </c>
      <c r="L380" s="419" t="s">
        <v>879</v>
      </c>
      <c r="M380" s="71" t="s">
        <v>298</v>
      </c>
      <c r="N380" s="71">
        <v>20.226730346679702</v>
      </c>
      <c r="O380" s="71">
        <v>92.836929321289105</v>
      </c>
      <c r="P380" s="71" t="s">
        <v>799</v>
      </c>
      <c r="Q380" s="71" t="s">
        <v>802</v>
      </c>
      <c r="R380" s="430"/>
      <c r="S380" s="423"/>
      <c r="T380" s="105">
        <v>42926</v>
      </c>
      <c r="U380" s="101"/>
      <c r="V380" s="71" t="s">
        <v>878</v>
      </c>
      <c r="W380" s="422"/>
      <c r="X380" s="542"/>
      <c r="Y380" s="542"/>
      <c r="Z380" s="542"/>
    </row>
    <row r="381" spans="1:26" s="71" customFormat="1" ht="14.25" customHeight="1">
      <c r="A381" s="423" t="s">
        <v>2707</v>
      </c>
      <c r="B381" s="420" t="s">
        <v>299</v>
      </c>
      <c r="C381" s="420" t="s">
        <v>2632</v>
      </c>
      <c r="D381" s="472"/>
      <c r="E381" s="419">
        <v>196136</v>
      </c>
      <c r="F381" s="419" t="s">
        <v>2761</v>
      </c>
      <c r="G381" s="419"/>
      <c r="H381" s="419"/>
      <c r="I381" s="419"/>
      <c r="J381" s="419" t="s">
        <v>798</v>
      </c>
      <c r="K381" s="419" t="s">
        <v>798</v>
      </c>
      <c r="L381" s="419" t="s">
        <v>798</v>
      </c>
      <c r="M381" s="419"/>
      <c r="N381" s="419">
        <v>20.1899604797363</v>
      </c>
      <c r="O381" s="419">
        <v>92.895767211914105</v>
      </c>
      <c r="P381" s="419"/>
      <c r="Q381" s="419"/>
      <c r="R381" s="422"/>
      <c r="S381" s="423"/>
      <c r="T381" s="442"/>
      <c r="U381" s="424"/>
      <c r="V381" s="419"/>
      <c r="W381" s="422"/>
      <c r="X381" s="542"/>
      <c r="Y381" s="542"/>
      <c r="Z381" s="542"/>
    </row>
    <row r="382" spans="1:26" s="71" customFormat="1" ht="14.25" customHeight="1">
      <c r="A382" s="423" t="s">
        <v>2707</v>
      </c>
      <c r="B382" s="426" t="s">
        <v>299</v>
      </c>
      <c r="C382" s="427" t="s">
        <v>2030</v>
      </c>
      <c r="D382" s="421"/>
      <c r="E382" s="419">
        <v>196181</v>
      </c>
      <c r="F382" s="419" t="s">
        <v>2030</v>
      </c>
      <c r="G382" s="419"/>
      <c r="H382" s="419"/>
      <c r="I382" s="419"/>
      <c r="J382" s="419" t="s">
        <v>798</v>
      </c>
      <c r="K382" s="419" t="s">
        <v>798</v>
      </c>
      <c r="L382" s="419" t="s">
        <v>798</v>
      </c>
      <c r="M382" s="419"/>
      <c r="N382" s="419">
        <v>20.227340699999999</v>
      </c>
      <c r="O382" s="419">
        <v>92.893341059999997</v>
      </c>
      <c r="P382" s="419" t="s">
        <v>799</v>
      </c>
      <c r="Q382" s="419"/>
      <c r="R382" s="430"/>
      <c r="S382" s="423"/>
      <c r="T382" s="442">
        <v>43297</v>
      </c>
      <c r="U382" s="424"/>
      <c r="V382" s="419"/>
      <c r="W382" s="422"/>
      <c r="X382" s="542"/>
      <c r="Y382" s="542"/>
      <c r="Z382" s="542"/>
    </row>
    <row r="383" spans="1:26" s="71" customFormat="1" ht="14.25" customHeight="1">
      <c r="A383" s="423" t="s">
        <v>2707</v>
      </c>
      <c r="B383" s="426" t="s">
        <v>299</v>
      </c>
      <c r="C383" s="427" t="s">
        <v>2025</v>
      </c>
      <c r="D383" s="421"/>
      <c r="E383" s="419">
        <v>196161</v>
      </c>
      <c r="F383" s="419" t="s">
        <v>2026</v>
      </c>
      <c r="G383" s="419"/>
      <c r="H383" s="419"/>
      <c r="I383" s="419"/>
      <c r="J383" s="419" t="s">
        <v>798</v>
      </c>
      <c r="K383" s="419" t="s">
        <v>798</v>
      </c>
      <c r="L383" s="419" t="s">
        <v>798</v>
      </c>
      <c r="M383" s="419" t="s">
        <v>298</v>
      </c>
      <c r="N383" s="419">
        <v>20.257850650000002</v>
      </c>
      <c r="O383" s="419">
        <v>92.811126709999996</v>
      </c>
      <c r="P383" s="419" t="s">
        <v>799</v>
      </c>
      <c r="Q383" s="419"/>
      <c r="R383" s="430"/>
      <c r="S383" s="423"/>
      <c r="T383" s="442">
        <v>43294</v>
      </c>
      <c r="U383" s="424"/>
      <c r="V383" s="419"/>
      <c r="W383" s="422"/>
      <c r="X383" s="542"/>
      <c r="Y383" s="542"/>
      <c r="Z383" s="542"/>
    </row>
    <row r="384" spans="1:26" s="71" customFormat="1" ht="14.25" customHeight="1">
      <c r="A384" s="423" t="s">
        <v>2707</v>
      </c>
      <c r="B384" s="426" t="s">
        <v>299</v>
      </c>
      <c r="C384" s="427" t="s">
        <v>2024</v>
      </c>
      <c r="D384" s="421"/>
      <c r="E384" s="71">
        <v>196168</v>
      </c>
      <c r="F384" s="71" t="s">
        <v>450</v>
      </c>
      <c r="J384" s="71" t="s">
        <v>798</v>
      </c>
      <c r="K384" s="419" t="s">
        <v>798</v>
      </c>
      <c r="L384" s="419" t="s">
        <v>798</v>
      </c>
      <c r="M384" s="71" t="s">
        <v>1910</v>
      </c>
      <c r="N384" s="71">
        <v>20.223510739999998</v>
      </c>
      <c r="O384" s="71">
        <v>92.86984253</v>
      </c>
      <c r="P384" s="71" t="s">
        <v>799</v>
      </c>
      <c r="R384" s="430"/>
      <c r="S384" s="423"/>
      <c r="T384" s="105">
        <v>43294</v>
      </c>
      <c r="U384" s="101"/>
      <c r="W384" s="422"/>
      <c r="X384" s="542"/>
      <c r="Y384" s="542"/>
      <c r="Z384" s="542"/>
    </row>
    <row r="385" spans="1:26" s="71" customFormat="1" ht="14.25" customHeight="1">
      <c r="A385" s="423" t="s">
        <v>2707</v>
      </c>
      <c r="B385" s="420" t="s">
        <v>299</v>
      </c>
      <c r="C385" s="420" t="s">
        <v>673</v>
      </c>
      <c r="D385" s="472"/>
      <c r="E385" s="420">
        <v>196208</v>
      </c>
      <c r="F385" s="420" t="s">
        <v>673</v>
      </c>
      <c r="J385" s="71" t="s">
        <v>798</v>
      </c>
      <c r="K385" s="420" t="s">
        <v>798</v>
      </c>
      <c r="L385" s="420" t="s">
        <v>798</v>
      </c>
      <c r="N385" s="71">
        <v>20.128850936889599</v>
      </c>
      <c r="O385" s="420">
        <v>92.872497558593807</v>
      </c>
      <c r="R385" s="422"/>
      <c r="S385" s="422"/>
      <c r="T385" s="105"/>
      <c r="U385" s="101"/>
      <c r="W385" s="422"/>
      <c r="X385" s="542"/>
      <c r="Y385" s="542"/>
      <c r="Z385" s="542"/>
    </row>
    <row r="386" spans="1:26" s="71" customFormat="1" ht="14.25" customHeight="1">
      <c r="A386" s="423" t="s">
        <v>2707</v>
      </c>
      <c r="B386" s="426" t="s">
        <v>299</v>
      </c>
      <c r="C386" s="427" t="s">
        <v>1876</v>
      </c>
      <c r="D386" s="421" t="s">
        <v>1874</v>
      </c>
      <c r="J386" s="71" t="s">
        <v>798</v>
      </c>
      <c r="K386" s="419" t="s">
        <v>798</v>
      </c>
      <c r="L386" s="419" t="s">
        <v>798</v>
      </c>
      <c r="P386" s="71" t="s">
        <v>799</v>
      </c>
      <c r="R386" s="430"/>
      <c r="S386" s="423"/>
      <c r="T386" s="105"/>
      <c r="U386" s="101"/>
      <c r="W386" s="422"/>
      <c r="X386" s="542"/>
      <c r="Y386" s="542"/>
      <c r="Z386" s="542"/>
    </row>
    <row r="387" spans="1:26" s="71" customFormat="1" ht="14.25" customHeight="1">
      <c r="A387" s="423" t="s">
        <v>2707</v>
      </c>
      <c r="B387" s="426" t="s">
        <v>299</v>
      </c>
      <c r="C387" s="427" t="s">
        <v>442</v>
      </c>
      <c r="D387" s="421" t="s">
        <v>1654</v>
      </c>
      <c r="E387" s="71">
        <v>196159</v>
      </c>
      <c r="J387" s="71" t="s">
        <v>798</v>
      </c>
      <c r="K387" s="419" t="s">
        <v>798</v>
      </c>
      <c r="L387" s="419" t="s">
        <v>798</v>
      </c>
      <c r="M387" s="71" t="s">
        <v>298</v>
      </c>
      <c r="N387" s="71">
        <v>20.2023601531982</v>
      </c>
      <c r="O387" s="71">
        <v>92.812782287597699</v>
      </c>
      <c r="P387" s="71" t="s">
        <v>799</v>
      </c>
      <c r="Q387" s="71" t="s">
        <v>780</v>
      </c>
      <c r="R387" s="430"/>
      <c r="S387" s="423"/>
      <c r="T387" s="105"/>
      <c r="U387" s="101"/>
      <c r="V387" s="71" t="s">
        <v>442</v>
      </c>
      <c r="W387" s="422"/>
      <c r="X387" s="542"/>
      <c r="Y387" s="542"/>
      <c r="Z387" s="542"/>
    </row>
    <row r="388" spans="1:26" s="71" customFormat="1" ht="14.25" customHeight="1">
      <c r="A388" s="419" t="s">
        <v>38</v>
      </c>
      <c r="B388" s="419" t="s">
        <v>189</v>
      </c>
      <c r="C388" s="419" t="s">
        <v>1086</v>
      </c>
      <c r="D388" s="472" t="s">
        <v>1654</v>
      </c>
      <c r="E388" s="419"/>
      <c r="J388" s="71" t="s">
        <v>1449</v>
      </c>
      <c r="K388" s="419" t="s">
        <v>44</v>
      </c>
      <c r="L388" s="419" t="s">
        <v>1087</v>
      </c>
      <c r="M388" s="71" t="s">
        <v>45</v>
      </c>
      <c r="P388" s="71" t="s">
        <v>761</v>
      </c>
      <c r="R388" s="99"/>
      <c r="S388" s="423"/>
      <c r="T388" s="105"/>
      <c r="U388" s="101"/>
      <c r="V388" s="71" t="s">
        <v>1086</v>
      </c>
      <c r="W388" s="419"/>
      <c r="X388" s="542"/>
      <c r="Y388" s="542"/>
      <c r="Z388" s="542"/>
    </row>
    <row r="389" spans="1:26" s="71" customFormat="1" ht="14.25" customHeight="1">
      <c r="A389" s="419" t="s">
        <v>38</v>
      </c>
      <c r="B389" s="419" t="s">
        <v>189</v>
      </c>
      <c r="C389" s="419" t="s">
        <v>271</v>
      </c>
      <c r="D389" s="472" t="s">
        <v>2897</v>
      </c>
      <c r="E389" s="71" t="s">
        <v>1482</v>
      </c>
      <c r="F389" s="71" t="s">
        <v>1784</v>
      </c>
      <c r="G389" s="71" t="s">
        <v>1784</v>
      </c>
      <c r="H389" s="71" t="s">
        <v>42</v>
      </c>
      <c r="I389" s="71" t="s">
        <v>43</v>
      </c>
      <c r="J389" s="71" t="s">
        <v>44</v>
      </c>
      <c r="K389" s="419" t="s">
        <v>44</v>
      </c>
      <c r="L389" s="419" t="s">
        <v>44</v>
      </c>
      <c r="M389" s="71" t="s">
        <v>45</v>
      </c>
      <c r="N389" s="71">
        <v>24.260719999999999</v>
      </c>
      <c r="O389" s="71">
        <v>97.238829999999993</v>
      </c>
      <c r="P389" s="71" t="s">
        <v>761</v>
      </c>
      <c r="Q389" s="71" t="s">
        <v>780</v>
      </c>
      <c r="R389" s="99">
        <v>218</v>
      </c>
      <c r="S389" s="422">
        <v>1067</v>
      </c>
      <c r="T389" s="105"/>
      <c r="U389" s="101"/>
      <c r="V389" s="71" t="s">
        <v>271</v>
      </c>
      <c r="X389" s="542"/>
      <c r="Y389" s="542"/>
      <c r="Z389" s="542"/>
    </row>
    <row r="390" spans="1:26" s="71" customFormat="1" ht="14.25" customHeight="1">
      <c r="A390" s="419" t="s">
        <v>38</v>
      </c>
      <c r="B390" s="419" t="s">
        <v>189</v>
      </c>
      <c r="C390" s="419" t="s">
        <v>190</v>
      </c>
      <c r="D390" s="472" t="s">
        <v>2897</v>
      </c>
      <c r="E390" s="71" t="s">
        <v>1481</v>
      </c>
      <c r="F390" s="71" t="s">
        <v>1783</v>
      </c>
      <c r="G390" s="71" t="s">
        <v>1783</v>
      </c>
      <c r="H390" s="71" t="s">
        <v>42</v>
      </c>
      <c r="I390" s="71" t="s">
        <v>135</v>
      </c>
      <c r="J390" s="71" t="s">
        <v>44</v>
      </c>
      <c r="K390" s="419" t="s">
        <v>44</v>
      </c>
      <c r="L390" s="419" t="s">
        <v>44</v>
      </c>
      <c r="M390" s="71" t="s">
        <v>45</v>
      </c>
      <c r="N390" s="71">
        <v>24.260466999999998</v>
      </c>
      <c r="O390" s="71">
        <v>97.252650000000003</v>
      </c>
      <c r="P390" s="71" t="s">
        <v>761</v>
      </c>
      <c r="Q390" s="71" t="s">
        <v>780</v>
      </c>
      <c r="R390" s="422">
        <v>12</v>
      </c>
      <c r="S390" s="422">
        <v>52</v>
      </c>
      <c r="T390" s="105"/>
      <c r="U390" s="101"/>
      <c r="V390" s="71" t="s">
        <v>190</v>
      </c>
      <c r="W390" s="419"/>
      <c r="X390" s="542"/>
      <c r="Y390" s="542"/>
      <c r="Z390" s="542"/>
    </row>
    <row r="391" spans="1:26" s="71" customFormat="1" ht="14.25" customHeight="1">
      <c r="A391" s="419" t="s">
        <v>38</v>
      </c>
      <c r="B391" s="419" t="s">
        <v>189</v>
      </c>
      <c r="C391" s="419" t="s">
        <v>1094</v>
      </c>
      <c r="D391" s="472" t="s">
        <v>1654</v>
      </c>
      <c r="E391" s="419"/>
      <c r="J391" s="71" t="s">
        <v>798</v>
      </c>
      <c r="K391" s="71" t="s">
        <v>798</v>
      </c>
      <c r="L391" s="71" t="s">
        <v>798</v>
      </c>
      <c r="M391" s="71" t="s">
        <v>45</v>
      </c>
      <c r="P391" s="71" t="s">
        <v>799</v>
      </c>
      <c r="R391" s="422"/>
      <c r="S391" s="423"/>
      <c r="T391" s="105"/>
      <c r="U391" s="101"/>
      <c r="W391" s="419"/>
      <c r="X391" s="542"/>
      <c r="Y391" s="542"/>
      <c r="Z391" s="542"/>
    </row>
    <row r="392" spans="1:26" s="71" customFormat="1" ht="14.25" customHeight="1">
      <c r="A392" s="419" t="s">
        <v>38</v>
      </c>
      <c r="B392" s="419" t="s">
        <v>189</v>
      </c>
      <c r="C392" s="419" t="s">
        <v>1009</v>
      </c>
      <c r="D392" s="472" t="s">
        <v>2897</v>
      </c>
      <c r="E392" s="419" t="s">
        <v>1485</v>
      </c>
      <c r="I392" s="71" t="s">
        <v>2142</v>
      </c>
      <c r="J392" s="71" t="s">
        <v>44</v>
      </c>
      <c r="K392" s="71" t="s">
        <v>44</v>
      </c>
      <c r="L392" s="71" t="s">
        <v>772</v>
      </c>
      <c r="M392" s="71" t="s">
        <v>45</v>
      </c>
      <c r="N392" s="419">
        <v>24.263786</v>
      </c>
      <c r="O392" s="419">
        <v>97.228835000000004</v>
      </c>
      <c r="P392" s="71" t="s">
        <v>773</v>
      </c>
      <c r="Q392" s="71" t="s">
        <v>762</v>
      </c>
      <c r="R392" s="99">
        <v>181</v>
      </c>
      <c r="S392" s="422">
        <v>906</v>
      </c>
      <c r="T392" s="105"/>
      <c r="U392" s="101" t="s">
        <v>1010</v>
      </c>
      <c r="V392" s="71" t="s">
        <v>772</v>
      </c>
      <c r="W392" s="419"/>
      <c r="X392" s="542"/>
      <c r="Y392" s="542"/>
      <c r="Z392" s="542"/>
    </row>
    <row r="393" spans="1:26" s="71" customFormat="1" ht="14.25" customHeight="1">
      <c r="A393" s="419" t="s">
        <v>38</v>
      </c>
      <c r="B393" s="419" t="s">
        <v>189</v>
      </c>
      <c r="C393" s="419" t="s">
        <v>768</v>
      </c>
      <c r="D393" s="472" t="s">
        <v>1655</v>
      </c>
      <c r="E393" s="419" t="s">
        <v>1312</v>
      </c>
      <c r="F393" s="71">
        <v>0</v>
      </c>
      <c r="G393" s="71">
        <v>0</v>
      </c>
      <c r="I393" s="71">
        <v>0</v>
      </c>
      <c r="J393" s="71" t="s">
        <v>44</v>
      </c>
      <c r="K393" s="71" t="s">
        <v>44</v>
      </c>
      <c r="L393" s="71" t="s">
        <v>760</v>
      </c>
      <c r="M393" s="71" t="s">
        <v>45</v>
      </c>
      <c r="N393" s="419"/>
      <c r="O393" s="419"/>
      <c r="P393" s="71" t="s">
        <v>761</v>
      </c>
      <c r="R393" s="99"/>
      <c r="S393" s="423"/>
      <c r="T393" s="105"/>
      <c r="U393" s="101"/>
      <c r="V393" s="71" t="s">
        <v>768</v>
      </c>
      <c r="W393" s="419" t="s">
        <v>2143</v>
      </c>
      <c r="X393" s="542"/>
      <c r="Y393" s="542"/>
      <c r="Z393" s="542"/>
    </row>
    <row r="394" spans="1:26" s="71" customFormat="1" ht="14.25" customHeight="1">
      <c r="A394" s="419" t="s">
        <v>38</v>
      </c>
      <c r="B394" s="419" t="s">
        <v>189</v>
      </c>
      <c r="C394" s="419" t="s">
        <v>192</v>
      </c>
      <c r="D394" s="472" t="s">
        <v>2897</v>
      </c>
      <c r="E394" s="419" t="s">
        <v>1473</v>
      </c>
      <c r="F394" s="419" t="s">
        <v>1781</v>
      </c>
      <c r="G394" s="419" t="s">
        <v>1782</v>
      </c>
      <c r="H394" s="419" t="s">
        <v>42</v>
      </c>
      <c r="I394" s="419" t="s">
        <v>135</v>
      </c>
      <c r="J394" s="419" t="s">
        <v>44</v>
      </c>
      <c r="K394" s="419" t="s">
        <v>44</v>
      </c>
      <c r="L394" s="419" t="s">
        <v>44</v>
      </c>
      <c r="M394" s="419" t="s">
        <v>45</v>
      </c>
      <c r="N394" s="419">
        <v>24.24766</v>
      </c>
      <c r="O394" s="419">
        <v>97.236919999999998</v>
      </c>
      <c r="P394" s="419" t="s">
        <v>761</v>
      </c>
      <c r="Q394" s="419" t="s">
        <v>780</v>
      </c>
      <c r="R394" s="422">
        <v>40</v>
      </c>
      <c r="S394" s="422">
        <v>232</v>
      </c>
      <c r="T394" s="442"/>
      <c r="U394" s="424"/>
      <c r="V394" s="419" t="s">
        <v>192</v>
      </c>
      <c r="W394" s="419"/>
      <c r="X394" s="542"/>
      <c r="Y394" s="542"/>
      <c r="Z394" s="542"/>
    </row>
    <row r="395" spans="1:26" s="71" customFormat="1" ht="14.25" customHeight="1">
      <c r="A395" s="419" t="s">
        <v>38</v>
      </c>
      <c r="B395" s="419" t="s">
        <v>189</v>
      </c>
      <c r="C395" s="419" t="s">
        <v>1008</v>
      </c>
      <c r="D395" s="472" t="s">
        <v>1655</v>
      </c>
      <c r="E395" s="419" t="s">
        <v>1483</v>
      </c>
      <c r="F395" s="419">
        <v>0</v>
      </c>
      <c r="G395" s="419">
        <v>0</v>
      </c>
      <c r="H395" s="419"/>
      <c r="I395" s="419">
        <v>0</v>
      </c>
      <c r="J395" s="71" t="s">
        <v>44</v>
      </c>
      <c r="K395" s="419" t="s">
        <v>44</v>
      </c>
      <c r="L395" s="419" t="s">
        <v>760</v>
      </c>
      <c r="M395" s="71" t="s">
        <v>45</v>
      </c>
      <c r="N395" s="71">
        <v>24.262418019999998</v>
      </c>
      <c r="O395" s="71">
        <v>97.221556500000005</v>
      </c>
      <c r="P395" s="71" t="s">
        <v>761</v>
      </c>
      <c r="R395" s="422"/>
      <c r="S395" s="423"/>
      <c r="T395" s="105"/>
      <c r="U395" s="101"/>
      <c r="V395" s="71" t="s">
        <v>1008</v>
      </c>
      <c r="W395" s="71" t="s">
        <v>2144</v>
      </c>
      <c r="X395" s="542"/>
      <c r="Y395" s="542"/>
      <c r="Z395" s="542"/>
    </row>
    <row r="396" spans="1:26" s="71" customFormat="1" ht="14.25" customHeight="1">
      <c r="A396" s="419" t="s">
        <v>38</v>
      </c>
      <c r="B396" s="419" t="s">
        <v>189</v>
      </c>
      <c r="C396" s="419" t="s">
        <v>194</v>
      </c>
      <c r="D396" s="472" t="s">
        <v>2897</v>
      </c>
      <c r="E396" s="419" t="s">
        <v>1484</v>
      </c>
      <c r="F396" s="419" t="s">
        <v>1784</v>
      </c>
      <c r="G396" s="419" t="s">
        <v>1784</v>
      </c>
      <c r="H396" s="419" t="s">
        <v>42</v>
      </c>
      <c r="I396" s="419" t="s">
        <v>236</v>
      </c>
      <c r="J396" s="71" t="s">
        <v>44</v>
      </c>
      <c r="K396" s="419" t="s">
        <v>44</v>
      </c>
      <c r="L396" s="419" t="s">
        <v>44</v>
      </c>
      <c r="M396" s="419" t="s">
        <v>45</v>
      </c>
      <c r="N396" s="419">
        <v>24.263174360000001</v>
      </c>
      <c r="O396" s="419">
        <v>97.240183459999997</v>
      </c>
      <c r="P396" s="71" t="s">
        <v>761</v>
      </c>
      <c r="Q396" s="419" t="s">
        <v>780</v>
      </c>
      <c r="R396" s="422">
        <v>139</v>
      </c>
      <c r="S396" s="422">
        <v>777</v>
      </c>
      <c r="T396" s="442"/>
      <c r="U396" s="424"/>
      <c r="V396" s="419" t="s">
        <v>194</v>
      </c>
      <c r="W396" s="419"/>
      <c r="X396" s="542"/>
      <c r="Y396" s="542"/>
      <c r="Z396" s="542"/>
    </row>
    <row r="397" spans="1:26" s="71" customFormat="1" ht="14.25" customHeight="1">
      <c r="A397" s="423" t="s">
        <v>38</v>
      </c>
      <c r="B397" s="419" t="s">
        <v>189</v>
      </c>
      <c r="C397" s="412" t="s">
        <v>2033</v>
      </c>
      <c r="D397" s="421"/>
      <c r="E397" s="419"/>
      <c r="J397" s="71" t="s">
        <v>1449</v>
      </c>
      <c r="K397" s="71" t="s">
        <v>44</v>
      </c>
      <c r="L397" s="71" t="s">
        <v>1087</v>
      </c>
      <c r="M397" s="71" t="s">
        <v>45</v>
      </c>
      <c r="N397" s="419"/>
      <c r="O397" s="419"/>
      <c r="P397" s="71" t="s">
        <v>1993</v>
      </c>
      <c r="R397" s="430"/>
      <c r="S397" s="423"/>
      <c r="T397" s="105">
        <v>43298</v>
      </c>
      <c r="U397" s="101"/>
      <c r="W397" s="419"/>
      <c r="X397" s="542"/>
      <c r="Y397" s="542"/>
      <c r="Z397" s="542"/>
    </row>
    <row r="398" spans="1:26" s="71" customFormat="1" ht="14.25" customHeight="1">
      <c r="A398" s="419" t="s">
        <v>38</v>
      </c>
      <c r="B398" s="419" t="s">
        <v>189</v>
      </c>
      <c r="C398" s="419" t="s">
        <v>195</v>
      </c>
      <c r="D398" s="472" t="s">
        <v>2897</v>
      </c>
      <c r="E398" s="419" t="s">
        <v>1479</v>
      </c>
      <c r="F398" s="419" t="s">
        <v>1781</v>
      </c>
      <c r="G398" s="419" t="s">
        <v>1782</v>
      </c>
      <c r="H398" s="419" t="s">
        <v>42</v>
      </c>
      <c r="I398" s="419" t="s">
        <v>236</v>
      </c>
      <c r="J398" s="419" t="s">
        <v>44</v>
      </c>
      <c r="K398" s="419" t="s">
        <v>44</v>
      </c>
      <c r="L398" s="419" t="s">
        <v>44</v>
      </c>
      <c r="M398" s="419" t="s">
        <v>45</v>
      </c>
      <c r="N398" s="419">
        <v>24.253067000000001</v>
      </c>
      <c r="O398" s="419">
        <v>97.234200000000001</v>
      </c>
      <c r="P398" s="419" t="s">
        <v>761</v>
      </c>
      <c r="Q398" s="419" t="s">
        <v>780</v>
      </c>
      <c r="R398" s="422">
        <v>14</v>
      </c>
      <c r="S398" s="422">
        <v>55</v>
      </c>
      <c r="T398" s="442"/>
      <c r="U398" s="424"/>
      <c r="V398" s="419" t="s">
        <v>195</v>
      </c>
      <c r="W398" s="419"/>
      <c r="X398" s="542"/>
      <c r="Y398" s="542"/>
      <c r="Z398" s="542"/>
    </row>
    <row r="399" spans="1:26" s="71" customFormat="1" ht="14.25" customHeight="1">
      <c r="A399" s="419" t="s">
        <v>38</v>
      </c>
      <c r="B399" s="419" t="s">
        <v>189</v>
      </c>
      <c r="C399" s="419" t="s">
        <v>197</v>
      </c>
      <c r="D399" s="472" t="s">
        <v>2897</v>
      </c>
      <c r="E399" s="419" t="s">
        <v>1489</v>
      </c>
      <c r="F399" s="419" t="s">
        <v>1788</v>
      </c>
      <c r="G399" s="419" t="s">
        <v>1788</v>
      </c>
      <c r="H399" s="419" t="s">
        <v>42</v>
      </c>
      <c r="I399" s="419" t="s">
        <v>43</v>
      </c>
      <c r="J399" s="419" t="s">
        <v>44</v>
      </c>
      <c r="K399" s="419" t="s">
        <v>44</v>
      </c>
      <c r="L399" s="419" t="s">
        <v>760</v>
      </c>
      <c r="M399" s="419" t="s">
        <v>45</v>
      </c>
      <c r="N399" s="419">
        <v>24.32638</v>
      </c>
      <c r="O399" s="419">
        <v>97.315860000000001</v>
      </c>
      <c r="P399" s="419" t="s">
        <v>761</v>
      </c>
      <c r="Q399" s="419" t="s">
        <v>780</v>
      </c>
      <c r="R399" s="422"/>
      <c r="S399" s="422"/>
      <c r="T399" s="442"/>
      <c r="U399" s="424"/>
      <c r="V399" s="419" t="s">
        <v>197</v>
      </c>
      <c r="W399" s="419"/>
      <c r="X399" s="542"/>
      <c r="Y399" s="542"/>
      <c r="Z399" s="542"/>
    </row>
    <row r="400" spans="1:26" s="71" customFormat="1" ht="14.25" customHeight="1">
      <c r="A400" s="419" t="s">
        <v>38</v>
      </c>
      <c r="B400" s="419" t="s">
        <v>189</v>
      </c>
      <c r="C400" s="419" t="s">
        <v>273</v>
      </c>
      <c r="D400" s="472" t="s">
        <v>2897</v>
      </c>
      <c r="E400" s="419" t="s">
        <v>1470</v>
      </c>
      <c r="F400" s="419" t="s">
        <v>1778</v>
      </c>
      <c r="G400" s="419" t="s">
        <v>1779</v>
      </c>
      <c r="H400" s="419" t="s">
        <v>42</v>
      </c>
      <c r="I400" s="419" t="s">
        <v>135</v>
      </c>
      <c r="J400" s="71" t="s">
        <v>44</v>
      </c>
      <c r="K400" s="419" t="s">
        <v>44</v>
      </c>
      <c r="L400" s="419" t="s">
        <v>44</v>
      </c>
      <c r="M400" s="419" t="s">
        <v>45</v>
      </c>
      <c r="N400" s="419">
        <v>24.222349999999999</v>
      </c>
      <c r="O400" s="419">
        <v>97.252650000000003</v>
      </c>
      <c r="P400" s="71" t="s">
        <v>761</v>
      </c>
      <c r="Q400" s="419" t="s">
        <v>780</v>
      </c>
      <c r="R400" s="422">
        <v>147</v>
      </c>
      <c r="S400" s="422">
        <v>783</v>
      </c>
      <c r="T400" s="442"/>
      <c r="U400" s="424"/>
      <c r="V400" s="419" t="s">
        <v>273</v>
      </c>
      <c r="W400" s="419"/>
      <c r="X400" s="542"/>
      <c r="Y400" s="542"/>
      <c r="Z400" s="542"/>
    </row>
    <row r="401" spans="1:26" s="71" customFormat="1" ht="14.25" customHeight="1">
      <c r="A401" s="419" t="s">
        <v>38</v>
      </c>
      <c r="B401" s="420" t="s">
        <v>189</v>
      </c>
      <c r="C401" s="420" t="s">
        <v>274</v>
      </c>
      <c r="D401" s="472" t="s">
        <v>2897</v>
      </c>
      <c r="E401" s="419" t="s">
        <v>1486</v>
      </c>
      <c r="F401" s="420" t="s">
        <v>1781</v>
      </c>
      <c r="G401" s="419" t="s">
        <v>1785</v>
      </c>
      <c r="H401" s="419" t="s">
        <v>42</v>
      </c>
      <c r="I401" s="419" t="s">
        <v>135</v>
      </c>
      <c r="J401" s="419" t="s">
        <v>44</v>
      </c>
      <c r="K401" s="419" t="s">
        <v>44</v>
      </c>
      <c r="L401" s="419" t="s">
        <v>44</v>
      </c>
      <c r="M401" s="419" t="s">
        <v>45</v>
      </c>
      <c r="N401" s="419">
        <v>24.26829283</v>
      </c>
      <c r="O401" s="419">
        <v>97.229116809999994</v>
      </c>
      <c r="P401" s="419" t="s">
        <v>761</v>
      </c>
      <c r="Q401" s="419" t="s">
        <v>780</v>
      </c>
      <c r="R401" s="426">
        <v>641</v>
      </c>
      <c r="S401" s="426">
        <v>4027</v>
      </c>
      <c r="T401" s="442"/>
      <c r="U401" s="424"/>
      <c r="V401" s="419" t="s">
        <v>274</v>
      </c>
      <c r="W401" s="413" t="s">
        <v>2271</v>
      </c>
      <c r="X401" s="542"/>
      <c r="Y401" s="542"/>
      <c r="Z401" s="542"/>
    </row>
    <row r="402" spans="1:26" s="71" customFormat="1" ht="14.25" customHeight="1">
      <c r="A402" s="427" t="s">
        <v>38</v>
      </c>
      <c r="B402" s="426" t="s">
        <v>189</v>
      </c>
      <c r="C402" s="432" t="s">
        <v>1646</v>
      </c>
      <c r="D402" s="472" t="s">
        <v>1654</v>
      </c>
      <c r="E402" s="420"/>
      <c r="F402" s="420"/>
      <c r="G402" s="420"/>
      <c r="H402" s="420" t="s">
        <v>130</v>
      </c>
      <c r="I402" s="420"/>
      <c r="J402" s="420" t="s">
        <v>1449</v>
      </c>
      <c r="K402" s="71" t="s">
        <v>44</v>
      </c>
      <c r="L402" s="71" t="s">
        <v>44</v>
      </c>
      <c r="M402" s="71" t="s">
        <v>45</v>
      </c>
      <c r="N402" s="420"/>
      <c r="O402" s="420"/>
      <c r="P402" s="71" t="s">
        <v>761</v>
      </c>
      <c r="Q402" s="420"/>
      <c r="R402" s="431"/>
      <c r="S402" s="427"/>
      <c r="T402" s="443">
        <v>43245</v>
      </c>
      <c r="U402" s="428"/>
      <c r="V402" s="420"/>
      <c r="W402" s="419"/>
      <c r="X402" s="542"/>
      <c r="Y402" s="542"/>
      <c r="Z402" s="542"/>
    </row>
    <row r="403" spans="1:26" s="71" customFormat="1" ht="14.25" customHeight="1">
      <c r="A403" s="419" t="s">
        <v>38</v>
      </c>
      <c r="B403" s="420" t="s">
        <v>189</v>
      </c>
      <c r="C403" s="420" t="s">
        <v>1011</v>
      </c>
      <c r="D403" s="472" t="s">
        <v>1961</v>
      </c>
      <c r="E403" s="420" t="s">
        <v>1488</v>
      </c>
      <c r="F403" s="419" t="s">
        <v>1781</v>
      </c>
      <c r="G403" s="419" t="s">
        <v>1861</v>
      </c>
      <c r="H403" s="419" t="s">
        <v>42</v>
      </c>
      <c r="I403" s="419" t="s">
        <v>236</v>
      </c>
      <c r="J403" s="419" t="s">
        <v>44</v>
      </c>
      <c r="K403" s="419" t="s">
        <v>44</v>
      </c>
      <c r="L403" s="419" t="s">
        <v>760</v>
      </c>
      <c r="M403" s="419" t="s">
        <v>45</v>
      </c>
      <c r="N403" s="419">
        <v>24.29138</v>
      </c>
      <c r="O403" s="419">
        <v>97.227789999999999</v>
      </c>
      <c r="P403" s="419" t="s">
        <v>761</v>
      </c>
      <c r="Q403" s="419" t="s">
        <v>762</v>
      </c>
      <c r="R403" s="422"/>
      <c r="S403" s="423"/>
      <c r="T403" s="442">
        <v>43276</v>
      </c>
      <c r="U403" s="424" t="s">
        <v>1962</v>
      </c>
      <c r="V403" s="419" t="s">
        <v>1011</v>
      </c>
      <c r="W403" s="413" t="s">
        <v>2145</v>
      </c>
      <c r="X403" s="542"/>
      <c r="Y403" s="542"/>
      <c r="Z403" s="542"/>
    </row>
    <row r="404" spans="1:26" s="71" customFormat="1" ht="14.25" customHeight="1">
      <c r="A404" s="419" t="s">
        <v>38</v>
      </c>
      <c r="B404" s="420" t="s">
        <v>189</v>
      </c>
      <c r="C404" s="420" t="s">
        <v>791</v>
      </c>
      <c r="D404" s="472" t="s">
        <v>1655</v>
      </c>
      <c r="E404" s="420" t="s">
        <v>1332</v>
      </c>
      <c r="F404" s="419">
        <v>0</v>
      </c>
      <c r="G404" s="419">
        <v>0</v>
      </c>
      <c r="H404" s="419"/>
      <c r="I404" s="419">
        <v>0</v>
      </c>
      <c r="J404" s="419" t="s">
        <v>44</v>
      </c>
      <c r="K404" s="419" t="s">
        <v>44</v>
      </c>
      <c r="L404" s="419" t="s">
        <v>760</v>
      </c>
      <c r="M404" s="419" t="s">
        <v>45</v>
      </c>
      <c r="N404" s="419"/>
      <c r="O404" s="419"/>
      <c r="P404" s="419" t="s">
        <v>761</v>
      </c>
      <c r="Q404" s="419"/>
      <c r="R404" s="422"/>
      <c r="S404" s="423"/>
      <c r="T404" s="442"/>
      <c r="U404" s="424"/>
      <c r="V404" s="419" t="s">
        <v>791</v>
      </c>
      <c r="W404" s="419" t="s">
        <v>2146</v>
      </c>
      <c r="X404" s="542"/>
      <c r="Y404" s="542"/>
      <c r="Z404" s="542"/>
    </row>
    <row r="405" spans="1:26" s="71" customFormat="1" ht="14.25" customHeight="1">
      <c r="A405" s="419" t="s">
        <v>38</v>
      </c>
      <c r="B405" s="420" t="s">
        <v>189</v>
      </c>
      <c r="C405" s="420" t="s">
        <v>198</v>
      </c>
      <c r="D405" s="472" t="s">
        <v>2722</v>
      </c>
      <c r="E405" s="420" t="s">
        <v>1474</v>
      </c>
      <c r="F405" s="419" t="s">
        <v>1778</v>
      </c>
      <c r="G405" s="419" t="s">
        <v>1778</v>
      </c>
      <c r="H405" s="419" t="s">
        <v>42</v>
      </c>
      <c r="I405" s="419" t="s">
        <v>236</v>
      </c>
      <c r="J405" s="419" t="s">
        <v>44</v>
      </c>
      <c r="K405" s="419" t="s">
        <v>44</v>
      </c>
      <c r="L405" s="419" t="s">
        <v>760</v>
      </c>
      <c r="M405" s="419" t="s">
        <v>45</v>
      </c>
      <c r="N405" s="419">
        <v>24.24953</v>
      </c>
      <c r="O405" s="419">
        <v>97.240639999999999</v>
      </c>
      <c r="P405" s="419" t="s">
        <v>761</v>
      </c>
      <c r="Q405" s="419" t="s">
        <v>780</v>
      </c>
      <c r="R405" s="422"/>
      <c r="S405" s="422"/>
      <c r="T405" s="442"/>
      <c r="U405" s="424"/>
      <c r="V405" s="419" t="s">
        <v>198</v>
      </c>
      <c r="W405" s="419"/>
      <c r="X405" s="542"/>
      <c r="Y405" s="542"/>
      <c r="Z405" s="542"/>
    </row>
    <row r="406" spans="1:26" s="71" customFormat="1" ht="14.25" customHeight="1">
      <c r="A406" s="419" t="s">
        <v>38</v>
      </c>
      <c r="B406" s="419" t="s">
        <v>140</v>
      </c>
      <c r="C406" s="419" t="s">
        <v>1098</v>
      </c>
      <c r="D406" s="472" t="s">
        <v>1654</v>
      </c>
      <c r="E406" s="419"/>
      <c r="F406" s="419"/>
      <c r="G406" s="419"/>
      <c r="H406" s="419"/>
      <c r="I406" s="419"/>
      <c r="J406" s="419" t="s">
        <v>44</v>
      </c>
      <c r="K406" s="419" t="s">
        <v>44</v>
      </c>
      <c r="L406" s="419" t="s">
        <v>1099</v>
      </c>
      <c r="M406" s="419" t="s">
        <v>45</v>
      </c>
      <c r="N406" s="419"/>
      <c r="O406" s="419"/>
      <c r="P406" s="419" t="s">
        <v>761</v>
      </c>
      <c r="Q406" s="419"/>
      <c r="R406" s="422"/>
      <c r="S406" s="423"/>
      <c r="T406" s="442"/>
      <c r="U406" s="424"/>
      <c r="V406" s="419" t="s">
        <v>1098</v>
      </c>
      <c r="W406" s="419"/>
      <c r="X406" s="542"/>
      <c r="Y406" s="542"/>
      <c r="Z406" s="542"/>
    </row>
    <row r="407" spans="1:26" s="71" customFormat="1" ht="14.25" customHeight="1">
      <c r="A407" s="419" t="s">
        <v>38</v>
      </c>
      <c r="B407" s="419" t="s">
        <v>140</v>
      </c>
      <c r="C407" s="71" t="s">
        <v>239</v>
      </c>
      <c r="D407" s="472" t="s">
        <v>2897</v>
      </c>
      <c r="E407" s="71" t="s">
        <v>1594</v>
      </c>
      <c r="F407" s="71" t="s">
        <v>1842</v>
      </c>
      <c r="G407" s="71" t="s">
        <v>1843</v>
      </c>
      <c r="H407" s="71" t="s">
        <v>42</v>
      </c>
      <c r="I407" s="71" t="s">
        <v>236</v>
      </c>
      <c r="J407" s="71" t="s">
        <v>44</v>
      </c>
      <c r="K407" s="71" t="s">
        <v>44</v>
      </c>
      <c r="L407" s="71" t="s">
        <v>44</v>
      </c>
      <c r="M407" s="71" t="s">
        <v>45</v>
      </c>
      <c r="N407" s="71">
        <v>25.889410000000002</v>
      </c>
      <c r="O407" s="71">
        <v>98.131550000000004</v>
      </c>
      <c r="P407" s="71" t="s">
        <v>761</v>
      </c>
      <c r="Q407" s="71" t="s">
        <v>780</v>
      </c>
      <c r="R407" s="422">
        <v>163</v>
      </c>
      <c r="S407" s="422">
        <v>830</v>
      </c>
      <c r="T407" s="105"/>
      <c r="U407" s="101"/>
      <c r="V407" s="71" t="s">
        <v>239</v>
      </c>
      <c r="X407" s="542"/>
      <c r="Y407" s="542"/>
      <c r="Z407" s="542"/>
    </row>
    <row r="408" spans="1:26" s="71" customFormat="1" ht="14.25" customHeight="1">
      <c r="A408" s="419" t="s">
        <v>38</v>
      </c>
      <c r="B408" s="419" t="s">
        <v>140</v>
      </c>
      <c r="C408" s="71" t="s">
        <v>769</v>
      </c>
      <c r="D408" s="472" t="s">
        <v>1655</v>
      </c>
      <c r="E408" s="71" t="s">
        <v>1313</v>
      </c>
      <c r="F408" s="71">
        <v>0</v>
      </c>
      <c r="G408" s="71">
        <v>0</v>
      </c>
      <c r="H408" s="71" t="s">
        <v>42</v>
      </c>
      <c r="I408" s="71" t="s">
        <v>1314</v>
      </c>
      <c r="J408" s="71" t="s">
        <v>44</v>
      </c>
      <c r="K408" s="71" t="s">
        <v>44</v>
      </c>
      <c r="L408" s="71" t="s">
        <v>760</v>
      </c>
      <c r="M408" s="71" t="s">
        <v>45</v>
      </c>
      <c r="P408" s="71" t="s">
        <v>761</v>
      </c>
      <c r="R408" s="99"/>
      <c r="S408" s="423"/>
      <c r="T408" s="105"/>
      <c r="U408" s="101"/>
      <c r="V408" s="71" t="s">
        <v>769</v>
      </c>
      <c r="W408" s="413" t="s">
        <v>2147</v>
      </c>
      <c r="X408" s="542"/>
      <c r="Y408" s="542"/>
      <c r="Z408" s="542"/>
    </row>
    <row r="409" spans="1:26" s="71" customFormat="1" ht="14.25" customHeight="1">
      <c r="A409" s="419" t="s">
        <v>38</v>
      </c>
      <c r="B409" s="419" t="s">
        <v>140</v>
      </c>
      <c r="C409" s="419" t="s">
        <v>141</v>
      </c>
      <c r="D409" s="472" t="s">
        <v>2897</v>
      </c>
      <c r="E409" s="419" t="s">
        <v>1590</v>
      </c>
      <c r="F409" s="419" t="s">
        <v>1839</v>
      </c>
      <c r="G409" s="419" t="s">
        <v>1840</v>
      </c>
      <c r="H409" s="419" t="s">
        <v>42</v>
      </c>
      <c r="I409" s="419" t="s">
        <v>135</v>
      </c>
      <c r="J409" s="419" t="s">
        <v>44</v>
      </c>
      <c r="K409" s="419" t="s">
        <v>44</v>
      </c>
      <c r="L409" s="419" t="s">
        <v>44</v>
      </c>
      <c r="M409" s="419" t="s">
        <v>778</v>
      </c>
      <c r="N409" s="419">
        <v>25.754110000000001</v>
      </c>
      <c r="O409" s="419">
        <v>98.475719999999995</v>
      </c>
      <c r="P409" s="419" t="s">
        <v>761</v>
      </c>
      <c r="Q409" s="419" t="s">
        <v>780</v>
      </c>
      <c r="R409" s="422">
        <v>163</v>
      </c>
      <c r="S409" s="422">
        <v>967</v>
      </c>
      <c r="T409" s="442"/>
      <c r="U409" s="424"/>
      <c r="V409" s="419" t="s">
        <v>141</v>
      </c>
      <c r="W409" s="413" t="s">
        <v>2272</v>
      </c>
      <c r="X409" s="542"/>
      <c r="Y409" s="542"/>
      <c r="Z409" s="542"/>
    </row>
    <row r="410" spans="1:26" s="71" customFormat="1" ht="14.25" customHeight="1">
      <c r="A410" s="419" t="s">
        <v>38</v>
      </c>
      <c r="B410" s="419" t="s">
        <v>140</v>
      </c>
      <c r="C410" s="419" t="s">
        <v>1062</v>
      </c>
      <c r="D410" s="472" t="s">
        <v>1655</v>
      </c>
      <c r="E410" s="419" t="s">
        <v>1588</v>
      </c>
      <c r="F410" s="419" t="s">
        <v>1720</v>
      </c>
      <c r="G410" s="419" t="s">
        <v>1721</v>
      </c>
      <c r="H410" s="419"/>
      <c r="I410" s="419">
        <v>0</v>
      </c>
      <c r="J410" s="419" t="s">
        <v>44</v>
      </c>
      <c r="K410" s="419" t="s">
        <v>44</v>
      </c>
      <c r="L410" s="419" t="s">
        <v>760</v>
      </c>
      <c r="M410" s="419" t="s">
        <v>45</v>
      </c>
      <c r="N410" s="419">
        <v>25.708763000000001</v>
      </c>
      <c r="O410" s="419">
        <v>98.354146999999998</v>
      </c>
      <c r="P410" s="419" t="s">
        <v>773</v>
      </c>
      <c r="Q410" s="419" t="s">
        <v>762</v>
      </c>
      <c r="R410" s="422"/>
      <c r="S410" s="423"/>
      <c r="T410" s="442">
        <v>42983</v>
      </c>
      <c r="U410" s="424" t="s">
        <v>1063</v>
      </c>
      <c r="V410" s="419" t="s">
        <v>1062</v>
      </c>
      <c r="W410" s="419" t="s">
        <v>2148</v>
      </c>
      <c r="X410" s="542"/>
      <c r="Y410" s="542"/>
      <c r="Z410" s="542"/>
    </row>
    <row r="411" spans="1:26" s="71" customFormat="1" ht="14.25" customHeight="1">
      <c r="A411" s="419" t="s">
        <v>38</v>
      </c>
      <c r="B411" s="419" t="s">
        <v>140</v>
      </c>
      <c r="C411" s="419" t="s">
        <v>241</v>
      </c>
      <c r="D411" s="472" t="s">
        <v>2897</v>
      </c>
      <c r="E411" s="419" t="s">
        <v>1593</v>
      </c>
      <c r="F411" s="419" t="s">
        <v>1684</v>
      </c>
      <c r="G411" s="419" t="s">
        <v>1841</v>
      </c>
      <c r="H411" s="419" t="s">
        <v>42</v>
      </c>
      <c r="I411" s="419" t="s">
        <v>236</v>
      </c>
      <c r="J411" s="419" t="s">
        <v>44</v>
      </c>
      <c r="K411" s="419" t="s">
        <v>44</v>
      </c>
      <c r="L411" s="419" t="s">
        <v>44</v>
      </c>
      <c r="M411" s="419" t="s">
        <v>45</v>
      </c>
      <c r="N411" s="419">
        <v>25.887339999999998</v>
      </c>
      <c r="O411" s="419">
        <v>98.129990000000006</v>
      </c>
      <c r="P411" s="419" t="s">
        <v>761</v>
      </c>
      <c r="Q411" s="419" t="s">
        <v>780</v>
      </c>
      <c r="R411" s="422">
        <v>206</v>
      </c>
      <c r="S411" s="422">
        <v>856</v>
      </c>
      <c r="T411" s="442"/>
      <c r="U411" s="424"/>
      <c r="V411" s="419" t="s">
        <v>241</v>
      </c>
      <c r="W411" s="419"/>
      <c r="X411" s="542"/>
      <c r="Y411" s="542"/>
      <c r="Z411" s="542"/>
    </row>
    <row r="412" spans="1:26" s="71" customFormat="1" ht="14.25" customHeight="1">
      <c r="A412" s="419" t="s">
        <v>38</v>
      </c>
      <c r="B412" s="419" t="s">
        <v>140</v>
      </c>
      <c r="C412" s="71" t="s">
        <v>219</v>
      </c>
      <c r="D412" s="472" t="s">
        <v>2897</v>
      </c>
      <c r="E412" s="71" t="s">
        <v>1571</v>
      </c>
      <c r="F412" s="71" t="s">
        <v>1834</v>
      </c>
      <c r="G412" s="71" t="s">
        <v>1704</v>
      </c>
      <c r="H412" s="71" t="s">
        <v>42</v>
      </c>
      <c r="I412" s="71" t="s">
        <v>1314</v>
      </c>
      <c r="J412" s="71" t="s">
        <v>44</v>
      </c>
      <c r="K412" s="71" t="s">
        <v>44</v>
      </c>
      <c r="L412" s="71" t="s">
        <v>44</v>
      </c>
      <c r="M412" s="71" t="s">
        <v>45</v>
      </c>
      <c r="N412" s="71">
        <v>25.60867</v>
      </c>
      <c r="O412" s="71">
        <v>98.377780000000001</v>
      </c>
      <c r="P412" s="71" t="s">
        <v>761</v>
      </c>
      <c r="Q412" s="71" t="s">
        <v>780</v>
      </c>
      <c r="R412" s="99">
        <v>57</v>
      </c>
      <c r="S412" s="422">
        <v>274</v>
      </c>
      <c r="T412" s="105"/>
      <c r="U412" s="101"/>
      <c r="V412" s="71" t="s">
        <v>219</v>
      </c>
      <c r="X412" s="542"/>
      <c r="Y412" s="542"/>
      <c r="Z412" s="542"/>
    </row>
    <row r="413" spans="1:26" s="71" customFormat="1" ht="14.25" customHeight="1">
      <c r="A413" s="419" t="s">
        <v>38</v>
      </c>
      <c r="B413" s="420" t="s">
        <v>140</v>
      </c>
      <c r="C413" s="420" t="s">
        <v>221</v>
      </c>
      <c r="D413" s="472" t="s">
        <v>2897</v>
      </c>
      <c r="E413" s="71" t="s">
        <v>1581</v>
      </c>
      <c r="F413" s="71" t="s">
        <v>1721</v>
      </c>
      <c r="G413" s="71" t="s">
        <v>221</v>
      </c>
      <c r="H413" s="71" t="s">
        <v>42</v>
      </c>
      <c r="I413" s="71" t="s">
        <v>1314</v>
      </c>
      <c r="J413" s="71" t="s">
        <v>44</v>
      </c>
      <c r="K413" s="71" t="s">
        <v>44</v>
      </c>
      <c r="L413" s="71" t="s">
        <v>44</v>
      </c>
      <c r="M413" s="71" t="s">
        <v>45</v>
      </c>
      <c r="N413" s="71">
        <v>25.645959999999999</v>
      </c>
      <c r="O413" s="71">
        <v>98.356260000000006</v>
      </c>
      <c r="P413" s="419" t="s">
        <v>761</v>
      </c>
      <c r="Q413" s="71" t="s">
        <v>780</v>
      </c>
      <c r="R413" s="422">
        <v>32</v>
      </c>
      <c r="S413" s="422">
        <v>167</v>
      </c>
      <c r="T413" s="105"/>
      <c r="U413" s="101"/>
      <c r="V413" s="71" t="s">
        <v>1057</v>
      </c>
      <c r="X413" s="542"/>
      <c r="Y413" s="542"/>
      <c r="Z413" s="542"/>
    </row>
    <row r="414" spans="1:26" s="71" customFormat="1" ht="14.25" customHeight="1">
      <c r="A414" s="419" t="s">
        <v>38</v>
      </c>
      <c r="B414" s="419" t="s">
        <v>142</v>
      </c>
      <c r="C414" s="71" t="s">
        <v>1058</v>
      </c>
      <c r="D414" s="472" t="s">
        <v>1655</v>
      </c>
      <c r="E414" s="71" t="s">
        <v>1584</v>
      </c>
      <c r="F414" s="71" t="s">
        <v>1718</v>
      </c>
      <c r="G414" s="71" t="s">
        <v>1718</v>
      </c>
      <c r="H414" s="71" t="s">
        <v>42</v>
      </c>
      <c r="I414" s="71" t="s">
        <v>135</v>
      </c>
      <c r="J414" s="71" t="s">
        <v>44</v>
      </c>
      <c r="K414" s="71" t="s">
        <v>44</v>
      </c>
      <c r="L414" s="71" t="s">
        <v>760</v>
      </c>
      <c r="M414" s="71" t="s">
        <v>45</v>
      </c>
      <c r="N414" s="71">
        <v>25.656130000000001</v>
      </c>
      <c r="O414" s="71">
        <v>96.355270000000004</v>
      </c>
      <c r="P414" s="71" t="s">
        <v>761</v>
      </c>
      <c r="Q414" s="71" t="s">
        <v>780</v>
      </c>
      <c r="R414" s="422"/>
      <c r="S414" s="423"/>
      <c r="T414" s="105">
        <v>42983</v>
      </c>
      <c r="U414" s="101" t="s">
        <v>1059</v>
      </c>
      <c r="V414" s="71" t="s">
        <v>1058</v>
      </c>
      <c r="W414" s="413" t="s">
        <v>2149</v>
      </c>
      <c r="X414" s="542"/>
      <c r="Y414" s="542"/>
      <c r="Z414" s="542"/>
    </row>
    <row r="415" spans="1:26" s="71" customFormat="1" ht="14.25" customHeight="1">
      <c r="A415" s="419" t="s">
        <v>38</v>
      </c>
      <c r="B415" s="419" t="s">
        <v>142</v>
      </c>
      <c r="C415" s="419" t="s">
        <v>224</v>
      </c>
      <c r="D415" s="472" t="s">
        <v>2897</v>
      </c>
      <c r="E415" s="71" t="s">
        <v>1583</v>
      </c>
      <c r="F415" s="71" t="s">
        <v>1718</v>
      </c>
      <c r="G415" s="71" t="s">
        <v>1718</v>
      </c>
      <c r="H415" s="71" t="s">
        <v>42</v>
      </c>
      <c r="I415" s="71" t="s">
        <v>1314</v>
      </c>
      <c r="J415" s="71" t="s">
        <v>44</v>
      </c>
      <c r="K415" s="71" t="s">
        <v>44</v>
      </c>
      <c r="L415" s="71" t="s">
        <v>44</v>
      </c>
      <c r="M415" s="71" t="s">
        <v>45</v>
      </c>
      <c r="N415" s="71">
        <v>25.656009999999998</v>
      </c>
      <c r="O415" s="71">
        <v>96.361609999999999</v>
      </c>
      <c r="P415" s="71" t="s">
        <v>761</v>
      </c>
      <c r="Q415" s="71" t="s">
        <v>780</v>
      </c>
      <c r="R415" s="422">
        <v>68</v>
      </c>
      <c r="S415" s="422">
        <v>343</v>
      </c>
      <c r="T415" s="105"/>
      <c r="U415" s="101"/>
      <c r="V415" s="71" t="s">
        <v>224</v>
      </c>
      <c r="W415" s="419"/>
      <c r="X415" s="542"/>
      <c r="Y415" s="542"/>
      <c r="Z415" s="542"/>
    </row>
    <row r="416" spans="1:26" s="71" customFormat="1" ht="14.25" customHeight="1">
      <c r="A416" s="419" t="s">
        <v>38</v>
      </c>
      <c r="B416" s="419" t="s">
        <v>142</v>
      </c>
      <c r="C416" s="71" t="s">
        <v>1068</v>
      </c>
      <c r="D416" s="472" t="s">
        <v>1655</v>
      </c>
      <c r="E416" s="71" t="s">
        <v>1595</v>
      </c>
      <c r="F416" s="71" t="s">
        <v>1725</v>
      </c>
      <c r="G416" s="71" t="s">
        <v>1726</v>
      </c>
      <c r="I416" s="71">
        <v>0</v>
      </c>
      <c r="J416" s="71" t="s">
        <v>44</v>
      </c>
      <c r="K416" s="71" t="s">
        <v>44</v>
      </c>
      <c r="L416" s="71" t="s">
        <v>760</v>
      </c>
      <c r="M416" s="71" t="s">
        <v>45</v>
      </c>
      <c r="N416" s="71">
        <v>25.920006000000001</v>
      </c>
      <c r="O416" s="71">
        <v>96.662092000000001</v>
      </c>
      <c r="P416" s="71" t="s">
        <v>761</v>
      </c>
      <c r="Q416" s="71" t="s">
        <v>762</v>
      </c>
      <c r="R416" s="99"/>
      <c r="S416" s="423"/>
      <c r="T416" s="105"/>
      <c r="U416" s="101"/>
      <c r="W416" s="413" t="s">
        <v>2150</v>
      </c>
      <c r="X416" s="542"/>
      <c r="Y416" s="542"/>
      <c r="Z416" s="542"/>
    </row>
    <row r="417" spans="1:26" s="71" customFormat="1" ht="14.25" customHeight="1">
      <c r="A417" s="419" t="s">
        <v>38</v>
      </c>
      <c r="B417" s="419" t="s">
        <v>142</v>
      </c>
      <c r="C417" s="71" t="s">
        <v>242</v>
      </c>
      <c r="D417" s="472" t="s">
        <v>2897</v>
      </c>
      <c r="E417" s="71" t="s">
        <v>1579</v>
      </c>
      <c r="F417" s="71" t="s">
        <v>1718</v>
      </c>
      <c r="G417" s="71" t="s">
        <v>1718</v>
      </c>
      <c r="H417" s="71" t="s">
        <v>42</v>
      </c>
      <c r="I417" s="71" t="s">
        <v>236</v>
      </c>
      <c r="J417" s="71" t="s">
        <v>44</v>
      </c>
      <c r="K417" s="71" t="s">
        <v>44</v>
      </c>
      <c r="L417" s="71" t="s">
        <v>44</v>
      </c>
      <c r="M417" s="71" t="s">
        <v>45</v>
      </c>
      <c r="N417" s="71">
        <v>25.635300000000001</v>
      </c>
      <c r="O417" s="71">
        <v>96.345569999999995</v>
      </c>
      <c r="P417" s="71" t="s">
        <v>761</v>
      </c>
      <c r="Q417" s="71" t="s">
        <v>780</v>
      </c>
      <c r="R417" s="422">
        <v>70</v>
      </c>
      <c r="S417" s="422">
        <v>372</v>
      </c>
      <c r="T417" s="105"/>
      <c r="U417" s="101"/>
      <c r="V417" s="71" t="s">
        <v>242</v>
      </c>
      <c r="X417" s="542"/>
      <c r="Y417" s="542"/>
      <c r="Z417" s="542"/>
    </row>
    <row r="418" spans="1:26" s="71" customFormat="1" ht="14.25" customHeight="1">
      <c r="A418" s="419" t="s">
        <v>38</v>
      </c>
      <c r="B418" s="419" t="s">
        <v>142</v>
      </c>
      <c r="C418" s="71" t="s">
        <v>243</v>
      </c>
      <c r="D418" s="472" t="s">
        <v>2897</v>
      </c>
      <c r="E418" s="71" t="s">
        <v>1576</v>
      </c>
      <c r="F418" s="71" t="s">
        <v>1835</v>
      </c>
      <c r="G418" s="71" t="s">
        <v>1836</v>
      </c>
      <c r="H418" s="71" t="s">
        <v>42</v>
      </c>
      <c r="I418" s="71" t="s">
        <v>236</v>
      </c>
      <c r="J418" s="71" t="s">
        <v>44</v>
      </c>
      <c r="K418" s="71" t="s">
        <v>44</v>
      </c>
      <c r="L418" s="71" t="s">
        <v>44</v>
      </c>
      <c r="M418" s="71" t="s">
        <v>45</v>
      </c>
      <c r="N418" s="71">
        <v>25.616509000000001</v>
      </c>
      <c r="O418" s="71">
        <v>96.317350000000005</v>
      </c>
      <c r="P418" s="71" t="s">
        <v>761</v>
      </c>
      <c r="Q418" s="71" t="s">
        <v>780</v>
      </c>
      <c r="R418" s="422">
        <v>13</v>
      </c>
      <c r="S418" s="422">
        <v>84</v>
      </c>
      <c r="T418" s="105"/>
      <c r="U418" s="101"/>
      <c r="V418" s="71" t="s">
        <v>243</v>
      </c>
      <c r="W418" s="419"/>
      <c r="X418" s="542"/>
      <c r="Y418" s="542"/>
      <c r="Z418" s="542"/>
    </row>
    <row r="419" spans="1:26" s="71" customFormat="1" ht="14.25" customHeight="1">
      <c r="A419" s="419" t="s">
        <v>38</v>
      </c>
      <c r="B419" s="419" t="s">
        <v>142</v>
      </c>
      <c r="C419" s="419" t="s">
        <v>244</v>
      </c>
      <c r="D419" s="472" t="s">
        <v>2897</v>
      </c>
      <c r="E419" s="419" t="s">
        <v>1582</v>
      </c>
      <c r="F419" s="419" t="s">
        <v>1718</v>
      </c>
      <c r="G419" s="419" t="s">
        <v>1838</v>
      </c>
      <c r="H419" s="419" t="s">
        <v>42</v>
      </c>
      <c r="I419" s="419" t="s">
        <v>135</v>
      </c>
      <c r="J419" s="419" t="s">
        <v>44</v>
      </c>
      <c r="K419" s="419" t="s">
        <v>44</v>
      </c>
      <c r="L419" s="419" t="s">
        <v>44</v>
      </c>
      <c r="M419" s="419" t="s">
        <v>45</v>
      </c>
      <c r="N419" s="419">
        <v>25.647649999999999</v>
      </c>
      <c r="O419" s="419">
        <v>96.346469999999997</v>
      </c>
      <c r="P419" s="419" t="s">
        <v>761</v>
      </c>
      <c r="Q419" s="419" t="s">
        <v>780</v>
      </c>
      <c r="R419" s="422">
        <v>36</v>
      </c>
      <c r="S419" s="422">
        <v>227</v>
      </c>
      <c r="T419" s="442"/>
      <c r="U419" s="424"/>
      <c r="V419" s="419" t="s">
        <v>244</v>
      </c>
      <c r="W419" s="419"/>
      <c r="X419" s="542"/>
      <c r="Y419" s="542"/>
      <c r="Z419" s="542"/>
    </row>
    <row r="420" spans="1:26" s="71" customFormat="1" ht="14.25" customHeight="1">
      <c r="A420" s="419" t="s">
        <v>38</v>
      </c>
      <c r="B420" s="419" t="s">
        <v>142</v>
      </c>
      <c r="C420" s="419" t="s">
        <v>1064</v>
      </c>
      <c r="D420" s="472" t="s">
        <v>1655</v>
      </c>
      <c r="E420" s="419" t="s">
        <v>1589</v>
      </c>
      <c r="F420" s="419" t="s">
        <v>1722</v>
      </c>
      <c r="G420" s="419" t="s">
        <v>1723</v>
      </c>
      <c r="H420" s="419" t="s">
        <v>42</v>
      </c>
      <c r="I420" s="419" t="s">
        <v>236</v>
      </c>
      <c r="J420" s="419" t="s">
        <v>44</v>
      </c>
      <c r="K420" s="419" t="s">
        <v>44</v>
      </c>
      <c r="L420" s="419" t="s">
        <v>760</v>
      </c>
      <c r="M420" s="419" t="s">
        <v>45</v>
      </c>
      <c r="N420" s="419">
        <v>25.728653000000001</v>
      </c>
      <c r="O420" s="419">
        <v>96.673805000000002</v>
      </c>
      <c r="P420" s="419" t="s">
        <v>761</v>
      </c>
      <c r="Q420" s="419"/>
      <c r="R420" s="422"/>
      <c r="S420" s="423"/>
      <c r="T420" s="442"/>
      <c r="U420" s="424"/>
      <c r="V420" s="419" t="s">
        <v>1064</v>
      </c>
      <c r="W420" s="413" t="s">
        <v>2151</v>
      </c>
      <c r="X420" s="542"/>
      <c r="Y420" s="542"/>
      <c r="Z420" s="542"/>
    </row>
    <row r="421" spans="1:26" s="71" customFormat="1" ht="14.25" customHeight="1">
      <c r="A421" s="419" t="s">
        <v>38</v>
      </c>
      <c r="B421" s="419" t="s">
        <v>142</v>
      </c>
      <c r="C421" s="71" t="s">
        <v>1061</v>
      </c>
      <c r="D421" s="472" t="s">
        <v>1655</v>
      </c>
      <c r="E421" s="71" t="s">
        <v>1587</v>
      </c>
      <c r="F421" s="71" t="s">
        <v>1718</v>
      </c>
      <c r="G421" s="71" t="s">
        <v>1719</v>
      </c>
      <c r="I421" s="71">
        <v>0</v>
      </c>
      <c r="J421" s="71" t="s">
        <v>44</v>
      </c>
      <c r="K421" s="71" t="s">
        <v>44</v>
      </c>
      <c r="L421" s="71" t="s">
        <v>760</v>
      </c>
      <c r="M421" s="71" t="s">
        <v>45</v>
      </c>
      <c r="N421" s="71">
        <v>25.668469999999999</v>
      </c>
      <c r="O421" s="71">
        <v>96.353070000000002</v>
      </c>
      <c r="P421" s="71" t="s">
        <v>761</v>
      </c>
      <c r="R421" s="99"/>
      <c r="S421" s="423"/>
      <c r="T421" s="105"/>
      <c r="U421" s="101"/>
      <c r="V421" s="71" t="s">
        <v>1061</v>
      </c>
      <c r="W421" s="71" t="s">
        <v>2152</v>
      </c>
      <c r="X421" s="542"/>
      <c r="Y421" s="542"/>
      <c r="Z421" s="542"/>
    </row>
    <row r="422" spans="1:26" s="71" customFormat="1" ht="14.25" customHeight="1">
      <c r="A422" s="419" t="s">
        <v>38</v>
      </c>
      <c r="B422" s="419" t="s">
        <v>142</v>
      </c>
      <c r="C422" s="71" t="s">
        <v>245</v>
      </c>
      <c r="D422" s="472" t="s">
        <v>2897</v>
      </c>
      <c r="E422" s="71" t="s">
        <v>1569</v>
      </c>
      <c r="F422" s="71" t="s">
        <v>1671</v>
      </c>
      <c r="G422" s="71" t="s">
        <v>1671</v>
      </c>
      <c r="H422" s="71" t="s">
        <v>42</v>
      </c>
      <c r="I422" s="71" t="s">
        <v>2142</v>
      </c>
      <c r="J422" s="71" t="s">
        <v>44</v>
      </c>
      <c r="K422" s="71" t="s">
        <v>44</v>
      </c>
      <c r="L422" s="71" t="s">
        <v>776</v>
      </c>
      <c r="M422" s="71" t="s">
        <v>45</v>
      </c>
      <c r="N422" s="71">
        <v>25.582065</v>
      </c>
      <c r="O422" s="71">
        <v>96.283377000000002</v>
      </c>
      <c r="P422" s="71" t="s">
        <v>761</v>
      </c>
      <c r="Q422" s="71" t="s">
        <v>780</v>
      </c>
      <c r="R422" s="99">
        <v>6</v>
      </c>
      <c r="S422" s="422">
        <v>31</v>
      </c>
      <c r="T422" s="105"/>
      <c r="U422" s="101"/>
      <c r="V422" s="71" t="s">
        <v>245</v>
      </c>
      <c r="X422" s="542"/>
      <c r="Y422" s="542"/>
      <c r="Z422" s="542"/>
    </row>
    <row r="423" spans="1:26" s="71" customFormat="1" ht="14.25" customHeight="1">
      <c r="A423" s="419" t="s">
        <v>38</v>
      </c>
      <c r="B423" s="419" t="s">
        <v>142</v>
      </c>
      <c r="C423" s="419" t="s">
        <v>246</v>
      </c>
      <c r="D423" s="472" t="s">
        <v>2897</v>
      </c>
      <c r="E423" s="419" t="s">
        <v>1580</v>
      </c>
      <c r="F423" s="419" t="s">
        <v>1718</v>
      </c>
      <c r="G423" s="419" t="s">
        <v>1837</v>
      </c>
      <c r="H423" s="419" t="s">
        <v>42</v>
      </c>
      <c r="I423" s="419" t="s">
        <v>236</v>
      </c>
      <c r="J423" s="71" t="s">
        <v>44</v>
      </c>
      <c r="K423" s="71" t="s">
        <v>44</v>
      </c>
      <c r="L423" s="71" t="s">
        <v>44</v>
      </c>
      <c r="M423" s="419" t="s">
        <v>45</v>
      </c>
      <c r="N423" s="419">
        <v>25.637309999999999</v>
      </c>
      <c r="O423" s="419">
        <v>96.35257</v>
      </c>
      <c r="P423" s="71" t="s">
        <v>761</v>
      </c>
      <c r="Q423" s="419" t="s">
        <v>780</v>
      </c>
      <c r="R423" s="422">
        <v>70</v>
      </c>
      <c r="S423" s="422">
        <v>376</v>
      </c>
      <c r="T423" s="442"/>
      <c r="U423" s="424"/>
      <c r="V423" s="419" t="s">
        <v>246</v>
      </c>
      <c r="X423" s="542"/>
      <c r="Y423" s="542"/>
      <c r="Z423" s="542"/>
    </row>
    <row r="424" spans="1:26" s="71" customFormat="1" ht="14.25" customHeight="1">
      <c r="A424" s="419" t="s">
        <v>38</v>
      </c>
      <c r="B424" s="419" t="s">
        <v>142</v>
      </c>
      <c r="C424" s="419" t="s">
        <v>143</v>
      </c>
      <c r="D424" s="472" t="s">
        <v>2897</v>
      </c>
      <c r="E424" s="419" t="s">
        <v>1564</v>
      </c>
      <c r="F424" s="419" t="s">
        <v>1830</v>
      </c>
      <c r="G424" s="419" t="s">
        <v>1831</v>
      </c>
      <c r="H424" s="419" t="s">
        <v>42</v>
      </c>
      <c r="I424" s="419" t="s">
        <v>135</v>
      </c>
      <c r="J424" s="419" t="s">
        <v>44</v>
      </c>
      <c r="K424" s="419" t="s">
        <v>44</v>
      </c>
      <c r="L424" s="419" t="s">
        <v>44</v>
      </c>
      <c r="M424" s="419" t="s">
        <v>45</v>
      </c>
      <c r="N424" s="419">
        <v>25.51352</v>
      </c>
      <c r="O424" s="419">
        <v>96.705960000000005</v>
      </c>
      <c r="P424" s="419" t="s">
        <v>761</v>
      </c>
      <c r="Q424" s="419" t="s">
        <v>780</v>
      </c>
      <c r="R424" s="422">
        <v>34</v>
      </c>
      <c r="S424" s="422">
        <v>137</v>
      </c>
      <c r="T424" s="442"/>
      <c r="U424" s="424"/>
      <c r="V424" s="419" t="s">
        <v>143</v>
      </c>
      <c r="W424" s="419"/>
      <c r="X424" s="542"/>
      <c r="Y424" s="542"/>
      <c r="Z424" s="542"/>
    </row>
    <row r="425" spans="1:26" s="71" customFormat="1" ht="14.25" customHeight="1">
      <c r="A425" s="419" t="s">
        <v>38</v>
      </c>
      <c r="B425" s="419" t="s">
        <v>142</v>
      </c>
      <c r="C425" s="419" t="s">
        <v>247</v>
      </c>
      <c r="D425" s="472" t="s">
        <v>2897</v>
      </c>
      <c r="E425" s="419" t="s">
        <v>1575</v>
      </c>
      <c r="F425" s="419" t="s">
        <v>1835</v>
      </c>
      <c r="G425" s="419" t="s">
        <v>1836</v>
      </c>
      <c r="H425" s="419" t="s">
        <v>42</v>
      </c>
      <c r="I425" s="419" t="s">
        <v>2142</v>
      </c>
      <c r="J425" s="419" t="s">
        <v>44</v>
      </c>
      <c r="K425" s="419" t="s">
        <v>44</v>
      </c>
      <c r="L425" s="419" t="s">
        <v>776</v>
      </c>
      <c r="M425" s="419" t="s">
        <v>45</v>
      </c>
      <c r="N425" s="419">
        <v>25.615960999999999</v>
      </c>
      <c r="O425" s="419">
        <v>96.316564</v>
      </c>
      <c r="P425" s="419" t="s">
        <v>761</v>
      </c>
      <c r="Q425" s="419" t="s">
        <v>780</v>
      </c>
      <c r="R425" s="422">
        <v>2</v>
      </c>
      <c r="S425" s="422">
        <v>14</v>
      </c>
      <c r="T425" s="442"/>
      <c r="U425" s="424"/>
      <c r="V425" s="419" t="s">
        <v>247</v>
      </c>
      <c r="W425" s="419"/>
      <c r="X425" s="542"/>
      <c r="Y425" s="542"/>
      <c r="Z425" s="542"/>
    </row>
    <row r="426" spans="1:26" s="71" customFormat="1" ht="14.25" customHeight="1">
      <c r="A426" s="419" t="s">
        <v>38</v>
      </c>
      <c r="B426" s="419" t="s">
        <v>142</v>
      </c>
      <c r="C426" s="419" t="s">
        <v>248</v>
      </c>
      <c r="D426" s="472" t="s">
        <v>2897</v>
      </c>
      <c r="E426" s="71" t="s">
        <v>1572</v>
      </c>
      <c r="F426" s="71" t="s">
        <v>1833</v>
      </c>
      <c r="G426" s="71" t="s">
        <v>1833</v>
      </c>
      <c r="H426" s="71" t="s">
        <v>42</v>
      </c>
      <c r="I426" s="71" t="s">
        <v>135</v>
      </c>
      <c r="J426" s="71" t="s">
        <v>44</v>
      </c>
      <c r="K426" s="71" t="s">
        <v>44</v>
      </c>
      <c r="L426" s="71" t="s">
        <v>44</v>
      </c>
      <c r="M426" s="71" t="s">
        <v>45</v>
      </c>
      <c r="N426" s="71">
        <v>25.611160000000002</v>
      </c>
      <c r="O426" s="71">
        <v>96.312790000000007</v>
      </c>
      <c r="P426" s="71" t="s">
        <v>761</v>
      </c>
      <c r="Q426" s="71" t="s">
        <v>780</v>
      </c>
      <c r="R426" s="99">
        <v>107</v>
      </c>
      <c r="S426" s="422">
        <v>519</v>
      </c>
      <c r="T426" s="105"/>
      <c r="U426" s="101"/>
      <c r="V426" s="71" t="s">
        <v>248</v>
      </c>
      <c r="X426" s="542"/>
      <c r="Y426" s="542"/>
      <c r="Z426" s="542"/>
    </row>
    <row r="427" spans="1:26" s="71" customFormat="1" ht="14.25" customHeight="1">
      <c r="A427" s="427" t="s">
        <v>38</v>
      </c>
      <c r="B427" s="426" t="s">
        <v>142</v>
      </c>
      <c r="C427" s="420" t="s">
        <v>1949</v>
      </c>
      <c r="D427" s="421" t="s">
        <v>1654</v>
      </c>
      <c r="J427" s="71" t="s">
        <v>1449</v>
      </c>
      <c r="K427" s="71" t="s">
        <v>44</v>
      </c>
      <c r="L427" s="71" t="s">
        <v>44</v>
      </c>
      <c r="M427" s="71" t="s">
        <v>45</v>
      </c>
      <c r="P427" s="419" t="s">
        <v>761</v>
      </c>
      <c r="Q427" s="71" t="s">
        <v>1950</v>
      </c>
      <c r="R427" s="430"/>
      <c r="S427" s="423"/>
      <c r="T427" s="105">
        <v>43270</v>
      </c>
      <c r="U427" s="101"/>
      <c r="W427" s="419"/>
      <c r="X427" s="542"/>
      <c r="Y427" s="542"/>
      <c r="Z427" s="542"/>
    </row>
    <row r="428" spans="1:26" s="71" customFormat="1" ht="14.25" customHeight="1">
      <c r="A428" s="427" t="s">
        <v>38</v>
      </c>
      <c r="B428" s="426" t="s">
        <v>142</v>
      </c>
      <c r="C428" s="420" t="s">
        <v>1983</v>
      </c>
      <c r="D428" s="472" t="s">
        <v>2897</v>
      </c>
      <c r="E428" s="420" t="s">
        <v>1984</v>
      </c>
      <c r="F428" s="420"/>
      <c r="G428" s="420"/>
      <c r="H428" s="420"/>
      <c r="I428" s="419" t="s">
        <v>1314</v>
      </c>
      <c r="J428" s="71" t="s">
        <v>44</v>
      </c>
      <c r="K428" s="71" t="s">
        <v>44</v>
      </c>
      <c r="L428" s="420" t="s">
        <v>44</v>
      </c>
      <c r="M428" s="419" t="s">
        <v>45</v>
      </c>
      <c r="N428" s="420"/>
      <c r="O428" s="420"/>
      <c r="P428" s="420" t="s">
        <v>761</v>
      </c>
      <c r="Q428" s="419" t="s">
        <v>1950</v>
      </c>
      <c r="R428" s="422">
        <v>16</v>
      </c>
      <c r="S428" s="422">
        <v>66</v>
      </c>
      <c r="T428" s="442">
        <v>43276</v>
      </c>
      <c r="U428" s="428" t="s">
        <v>2000</v>
      </c>
      <c r="V428" s="420"/>
      <c r="W428" s="413" t="s">
        <v>2273</v>
      </c>
      <c r="X428" s="542"/>
      <c r="Y428" s="542"/>
      <c r="Z428" s="542"/>
    </row>
    <row r="429" spans="1:26" s="71" customFormat="1" ht="14.25" customHeight="1">
      <c r="A429" s="419" t="s">
        <v>38</v>
      </c>
      <c r="B429" s="419" t="s">
        <v>142</v>
      </c>
      <c r="C429" s="419" t="s">
        <v>1065</v>
      </c>
      <c r="D429" s="472" t="s">
        <v>1655</v>
      </c>
      <c r="E429" s="71" t="s">
        <v>1591</v>
      </c>
      <c r="F429" s="71" t="s">
        <v>1718</v>
      </c>
      <c r="G429" s="71" t="s">
        <v>1724</v>
      </c>
      <c r="H429" s="71" t="s">
        <v>42</v>
      </c>
      <c r="I429" s="71" t="s">
        <v>135</v>
      </c>
      <c r="J429" s="71" t="s">
        <v>44</v>
      </c>
      <c r="K429" s="419" t="s">
        <v>44</v>
      </c>
      <c r="L429" s="419" t="s">
        <v>760</v>
      </c>
      <c r="M429" s="71" t="s">
        <v>45</v>
      </c>
      <c r="N429" s="71">
        <v>25.806999999999999</v>
      </c>
      <c r="O429" s="71">
        <v>96.637</v>
      </c>
      <c r="P429" s="71" t="s">
        <v>761</v>
      </c>
      <c r="Q429" s="71" t="s">
        <v>780</v>
      </c>
      <c r="R429" s="422"/>
      <c r="S429" s="100"/>
      <c r="T429" s="105">
        <v>42983</v>
      </c>
      <c r="U429" s="101" t="s">
        <v>1059</v>
      </c>
      <c r="V429" s="71" t="s">
        <v>1065</v>
      </c>
      <c r="W429" s="413" t="s">
        <v>2154</v>
      </c>
      <c r="X429" s="542"/>
      <c r="Y429" s="542"/>
      <c r="Z429" s="542"/>
    </row>
    <row r="430" spans="1:26" s="71" customFormat="1" ht="14.25" customHeight="1">
      <c r="A430" s="427" t="s">
        <v>38</v>
      </c>
      <c r="B430" s="426" t="s">
        <v>142</v>
      </c>
      <c r="C430" s="420" t="s">
        <v>1981</v>
      </c>
      <c r="D430" s="472" t="s">
        <v>2897</v>
      </c>
      <c r="E430" s="420" t="s">
        <v>1982</v>
      </c>
      <c r="F430" s="420"/>
      <c r="G430" s="420"/>
      <c r="H430" s="420"/>
      <c r="I430" s="419" t="s">
        <v>1314</v>
      </c>
      <c r="J430" s="419" t="s">
        <v>44</v>
      </c>
      <c r="K430" s="419" t="s">
        <v>44</v>
      </c>
      <c r="L430" s="420" t="s">
        <v>44</v>
      </c>
      <c r="M430" s="419" t="s">
        <v>45</v>
      </c>
      <c r="N430" s="420"/>
      <c r="O430" s="420"/>
      <c r="P430" s="420" t="s">
        <v>761</v>
      </c>
      <c r="Q430" s="419" t="s">
        <v>1950</v>
      </c>
      <c r="R430" s="422">
        <v>47</v>
      </c>
      <c r="S430" s="422">
        <v>218</v>
      </c>
      <c r="T430" s="442">
        <v>43276</v>
      </c>
      <c r="U430" s="428" t="s">
        <v>2000</v>
      </c>
      <c r="V430" s="420"/>
      <c r="W430" s="413" t="s">
        <v>2274</v>
      </c>
      <c r="X430" s="542"/>
      <c r="Y430" s="542"/>
      <c r="Z430" s="542"/>
    </row>
    <row r="431" spans="1:26" s="71" customFormat="1" ht="14.25" customHeight="1">
      <c r="A431" s="427" t="s">
        <v>38</v>
      </c>
      <c r="B431" s="426" t="s">
        <v>142</v>
      </c>
      <c r="C431" s="420" t="s">
        <v>1951</v>
      </c>
      <c r="D431" s="421"/>
      <c r="J431" s="71" t="s">
        <v>1449</v>
      </c>
      <c r="K431" s="71" t="s">
        <v>44</v>
      </c>
      <c r="L431" s="71" t="s">
        <v>44</v>
      </c>
      <c r="M431" s="71" t="s">
        <v>45</v>
      </c>
      <c r="P431" s="419" t="s">
        <v>761</v>
      </c>
      <c r="Q431" s="71" t="s">
        <v>1950</v>
      </c>
      <c r="R431" s="430"/>
      <c r="S431" s="423"/>
      <c r="T431" s="105">
        <v>43270</v>
      </c>
      <c r="U431" s="101"/>
      <c r="W431" s="419"/>
      <c r="X431" s="542"/>
      <c r="Y431" s="542"/>
      <c r="Z431" s="542"/>
    </row>
    <row r="432" spans="1:26" s="71" customFormat="1" ht="14.25" customHeight="1">
      <c r="A432" s="419" t="s">
        <v>38</v>
      </c>
      <c r="B432" s="419" t="s">
        <v>142</v>
      </c>
      <c r="C432" s="419" t="s">
        <v>237</v>
      </c>
      <c r="D432" s="472" t="s">
        <v>2897</v>
      </c>
      <c r="E432" s="71" t="s">
        <v>1610</v>
      </c>
      <c r="F432" s="71" t="s">
        <v>1718</v>
      </c>
      <c r="G432" s="71" t="s">
        <v>1847</v>
      </c>
      <c r="H432" s="71" t="s">
        <v>42</v>
      </c>
      <c r="I432" s="419" t="s">
        <v>135</v>
      </c>
      <c r="J432" s="71" t="s">
        <v>44</v>
      </c>
      <c r="K432" s="419" t="s">
        <v>44</v>
      </c>
      <c r="L432" s="419" t="s">
        <v>1087</v>
      </c>
      <c r="M432" s="71" t="s">
        <v>45</v>
      </c>
      <c r="P432" s="17" t="s">
        <v>1995</v>
      </c>
      <c r="Q432" s="71" t="s">
        <v>926</v>
      </c>
      <c r="R432" s="422">
        <v>124</v>
      </c>
      <c r="S432" s="422">
        <v>673</v>
      </c>
      <c r="T432" s="105">
        <v>42983</v>
      </c>
      <c r="U432" s="101" t="s">
        <v>1105</v>
      </c>
      <c r="W432" s="413" t="s">
        <v>2680</v>
      </c>
      <c r="X432" s="542"/>
      <c r="Y432" s="542"/>
      <c r="Z432" s="542"/>
    </row>
    <row r="433" spans="1:26" s="71" customFormat="1" ht="14.25" customHeight="1">
      <c r="A433" s="419" t="s">
        <v>38</v>
      </c>
      <c r="B433" s="419" t="s">
        <v>142</v>
      </c>
      <c r="C433" s="419" t="s">
        <v>249</v>
      </c>
      <c r="D433" s="472" t="s">
        <v>2897</v>
      </c>
      <c r="E433" s="71" t="s">
        <v>1566</v>
      </c>
      <c r="F433" s="71" t="s">
        <v>1671</v>
      </c>
      <c r="G433" s="71" t="s">
        <v>1672</v>
      </c>
      <c r="H433" s="71" t="s">
        <v>42</v>
      </c>
      <c r="I433" s="71" t="s">
        <v>236</v>
      </c>
      <c r="J433" s="71" t="s">
        <v>44</v>
      </c>
      <c r="K433" s="419" t="s">
        <v>44</v>
      </c>
      <c r="L433" s="419" t="s">
        <v>44</v>
      </c>
      <c r="M433" s="71" t="s">
        <v>45</v>
      </c>
      <c r="N433" s="419">
        <v>25.566510000000001</v>
      </c>
      <c r="O433" s="419">
        <v>96.269199999999998</v>
      </c>
      <c r="P433" s="419" t="s">
        <v>761</v>
      </c>
      <c r="Q433" s="71" t="s">
        <v>780</v>
      </c>
      <c r="R433" s="422">
        <v>18</v>
      </c>
      <c r="S433" s="422">
        <v>105</v>
      </c>
      <c r="T433" s="105"/>
      <c r="U433" s="101"/>
      <c r="V433" s="71" t="s">
        <v>249</v>
      </c>
      <c r="W433" s="419"/>
      <c r="X433" s="542"/>
      <c r="Y433" s="542"/>
      <c r="Z433" s="542"/>
    </row>
    <row r="434" spans="1:26" s="71" customFormat="1" ht="14.25" customHeight="1">
      <c r="A434" s="419" t="s">
        <v>38</v>
      </c>
      <c r="B434" s="419" t="s">
        <v>142</v>
      </c>
      <c r="C434" s="419" t="s">
        <v>250</v>
      </c>
      <c r="D434" s="472" t="s">
        <v>2897</v>
      </c>
      <c r="E434" s="71" t="s">
        <v>1578</v>
      </c>
      <c r="F434" s="71" t="s">
        <v>1835</v>
      </c>
      <c r="G434" s="71" t="s">
        <v>1836</v>
      </c>
      <c r="H434" s="71" t="s">
        <v>42</v>
      </c>
      <c r="I434" s="71" t="s">
        <v>236</v>
      </c>
      <c r="J434" s="71" t="s">
        <v>44</v>
      </c>
      <c r="K434" s="71" t="s">
        <v>44</v>
      </c>
      <c r="L434" s="419" t="s">
        <v>44</v>
      </c>
      <c r="M434" s="71" t="s">
        <v>45</v>
      </c>
      <c r="N434" s="71">
        <v>25.61842</v>
      </c>
      <c r="O434" s="71">
        <v>96.316400000000002</v>
      </c>
      <c r="P434" s="419" t="s">
        <v>761</v>
      </c>
      <c r="Q434" s="71" t="s">
        <v>780</v>
      </c>
      <c r="R434" s="422">
        <v>12</v>
      </c>
      <c r="S434" s="422">
        <v>60</v>
      </c>
      <c r="T434" s="105"/>
      <c r="U434" s="101"/>
      <c r="V434" s="71" t="s">
        <v>250</v>
      </c>
      <c r="W434" s="419"/>
      <c r="X434" s="542"/>
      <c r="Y434" s="542"/>
      <c r="Z434" s="542"/>
    </row>
    <row r="435" spans="1:26" s="71" customFormat="1" ht="14.25" customHeight="1">
      <c r="A435" s="423" t="s">
        <v>38</v>
      </c>
      <c r="B435" s="426" t="s">
        <v>142</v>
      </c>
      <c r="C435" s="427" t="s">
        <v>2032</v>
      </c>
      <c r="D435" s="421"/>
      <c r="J435" s="71" t="s">
        <v>1449</v>
      </c>
      <c r="K435" s="420" t="s">
        <v>44</v>
      </c>
      <c r="L435" s="420" t="s">
        <v>776</v>
      </c>
      <c r="M435" s="71" t="s">
        <v>45</v>
      </c>
      <c r="P435" s="419" t="s">
        <v>761</v>
      </c>
      <c r="R435" s="430"/>
      <c r="S435" s="423"/>
      <c r="T435" s="105">
        <v>43297</v>
      </c>
      <c r="U435" s="424"/>
      <c r="W435" s="419"/>
      <c r="X435" s="542"/>
      <c r="Y435" s="542"/>
      <c r="Z435" s="542"/>
    </row>
    <row r="436" spans="1:26" s="71" customFormat="1" ht="14.25" customHeight="1">
      <c r="A436" s="419" t="s">
        <v>38</v>
      </c>
      <c r="B436" s="419" t="s">
        <v>142</v>
      </c>
      <c r="C436" s="419" t="s">
        <v>251</v>
      </c>
      <c r="D436" s="472" t="s">
        <v>2897</v>
      </c>
      <c r="E436" s="71" t="s">
        <v>1574</v>
      </c>
      <c r="F436" s="71" t="s">
        <v>1835</v>
      </c>
      <c r="G436" s="71" t="s">
        <v>1836</v>
      </c>
      <c r="H436" s="71" t="s">
        <v>42</v>
      </c>
      <c r="I436" s="71" t="s">
        <v>2142</v>
      </c>
      <c r="J436" s="71" t="s">
        <v>44</v>
      </c>
      <c r="K436" s="71" t="s">
        <v>44</v>
      </c>
      <c r="L436" s="71" t="s">
        <v>776</v>
      </c>
      <c r="M436" s="71" t="s">
        <v>45</v>
      </c>
      <c r="N436" s="71">
        <v>25.6145</v>
      </c>
      <c r="O436" s="71">
        <v>96.319829999999996</v>
      </c>
      <c r="P436" s="419" t="s">
        <v>761</v>
      </c>
      <c r="Q436" s="71" t="s">
        <v>780</v>
      </c>
      <c r="R436" s="422">
        <v>3</v>
      </c>
      <c r="S436" s="422">
        <v>15</v>
      </c>
      <c r="T436" s="105"/>
      <c r="U436" s="101"/>
      <c r="V436" s="71" t="s">
        <v>251</v>
      </c>
      <c r="X436" s="542"/>
      <c r="Y436" s="542"/>
      <c r="Z436" s="542"/>
    </row>
    <row r="437" spans="1:26" s="71" customFormat="1" ht="14.25" customHeight="1">
      <c r="A437" s="419" t="s">
        <v>38</v>
      </c>
      <c r="B437" s="419" t="s">
        <v>142</v>
      </c>
      <c r="C437" s="71" t="s">
        <v>1060</v>
      </c>
      <c r="D437" s="472" t="s">
        <v>1655</v>
      </c>
      <c r="E437" s="71" t="s">
        <v>1585</v>
      </c>
      <c r="F437" s="71" t="s">
        <v>1718</v>
      </c>
      <c r="G437" s="71" t="s">
        <v>1718</v>
      </c>
      <c r="I437" s="71">
        <v>0</v>
      </c>
      <c r="J437" s="71" t="s">
        <v>44</v>
      </c>
      <c r="K437" s="71" t="s">
        <v>44</v>
      </c>
      <c r="L437" s="71" t="s">
        <v>760</v>
      </c>
      <c r="M437" s="71" t="s">
        <v>45</v>
      </c>
      <c r="N437" s="71">
        <v>25.658670000000001</v>
      </c>
      <c r="O437" s="71">
        <v>96.354159999999993</v>
      </c>
      <c r="P437" s="71" t="s">
        <v>761</v>
      </c>
      <c r="R437" s="99"/>
      <c r="S437" s="423"/>
      <c r="T437" s="105"/>
      <c r="U437" s="101"/>
      <c r="V437" s="71" t="s">
        <v>1060</v>
      </c>
      <c r="W437" s="419" t="s">
        <v>2155</v>
      </c>
      <c r="X437" s="542"/>
      <c r="Y437" s="542"/>
      <c r="Z437" s="542"/>
    </row>
    <row r="438" spans="1:26" s="71" customFormat="1" ht="14.25" customHeight="1">
      <c r="A438" s="419" t="s">
        <v>38</v>
      </c>
      <c r="B438" s="419" t="s">
        <v>142</v>
      </c>
      <c r="C438" s="419" t="s">
        <v>184</v>
      </c>
      <c r="D438" s="472" t="s">
        <v>2897</v>
      </c>
      <c r="E438" s="71" t="s">
        <v>1596</v>
      </c>
      <c r="F438" s="71" t="s">
        <v>1725</v>
      </c>
      <c r="G438" s="71" t="s">
        <v>1726</v>
      </c>
      <c r="H438" s="71" t="s">
        <v>42</v>
      </c>
      <c r="I438" s="71" t="s">
        <v>1314</v>
      </c>
      <c r="J438" s="71" t="s">
        <v>44</v>
      </c>
      <c r="K438" s="71" t="s">
        <v>44</v>
      </c>
      <c r="L438" s="419" t="s">
        <v>44</v>
      </c>
      <c r="M438" s="71" t="s">
        <v>45</v>
      </c>
      <c r="N438" s="419">
        <v>25.920006000000001</v>
      </c>
      <c r="O438" s="419">
        <v>96.662092000000001</v>
      </c>
      <c r="P438" s="419" t="s">
        <v>761</v>
      </c>
      <c r="Q438" s="71" t="s">
        <v>762</v>
      </c>
      <c r="R438" s="422">
        <v>25</v>
      </c>
      <c r="S438" s="422">
        <v>113</v>
      </c>
      <c r="T438" s="105"/>
      <c r="U438" s="424"/>
      <c r="W438" s="419"/>
      <c r="X438" s="542"/>
      <c r="Y438" s="542"/>
      <c r="Z438" s="542"/>
    </row>
    <row r="439" spans="1:26" s="71" customFormat="1" ht="14.25" customHeight="1">
      <c r="A439" s="419" t="s">
        <v>38</v>
      </c>
      <c r="B439" s="419" t="s">
        <v>142</v>
      </c>
      <c r="C439" s="419" t="s">
        <v>252</v>
      </c>
      <c r="D439" s="472" t="s">
        <v>2897</v>
      </c>
      <c r="E439" s="71" t="s">
        <v>1577</v>
      </c>
      <c r="F439" s="71" t="s">
        <v>1833</v>
      </c>
      <c r="G439" s="71" t="s">
        <v>1833</v>
      </c>
      <c r="H439" s="71" t="s">
        <v>42</v>
      </c>
      <c r="I439" s="71" t="s">
        <v>2142</v>
      </c>
      <c r="J439" s="71" t="s">
        <v>44</v>
      </c>
      <c r="K439" s="71" t="s">
        <v>44</v>
      </c>
      <c r="L439" s="419" t="s">
        <v>776</v>
      </c>
      <c r="M439" s="71" t="s">
        <v>45</v>
      </c>
      <c r="N439" s="71">
        <v>25.617998</v>
      </c>
      <c r="O439" s="71">
        <v>96.339590000000001</v>
      </c>
      <c r="P439" s="419" t="s">
        <v>761</v>
      </c>
      <c r="Q439" s="71" t="s">
        <v>780</v>
      </c>
      <c r="R439" s="422">
        <v>11</v>
      </c>
      <c r="S439" s="422">
        <v>43</v>
      </c>
      <c r="T439" s="105"/>
      <c r="U439" s="424"/>
      <c r="V439" s="71" t="s">
        <v>252</v>
      </c>
      <c r="W439" s="419"/>
      <c r="X439" s="542"/>
      <c r="Y439" s="542"/>
      <c r="Z439" s="542"/>
    </row>
    <row r="440" spans="1:26" s="71" customFormat="1" ht="14.25" customHeight="1">
      <c r="A440" s="419" t="s">
        <v>38</v>
      </c>
      <c r="B440" s="419" t="s">
        <v>142</v>
      </c>
      <c r="C440" s="419" t="s">
        <v>225</v>
      </c>
      <c r="D440" s="472" t="s">
        <v>2897</v>
      </c>
      <c r="E440" s="71" t="s">
        <v>1573</v>
      </c>
      <c r="F440" s="71" t="s">
        <v>1833</v>
      </c>
      <c r="G440" s="71" t="s">
        <v>1833</v>
      </c>
      <c r="H440" s="71" t="s">
        <v>42</v>
      </c>
      <c r="I440" s="71" t="s">
        <v>1314</v>
      </c>
      <c r="J440" s="71" t="s">
        <v>44</v>
      </c>
      <c r="K440" s="71" t="s">
        <v>44</v>
      </c>
      <c r="L440" s="71" t="s">
        <v>44</v>
      </c>
      <c r="M440" s="71" t="s">
        <v>45</v>
      </c>
      <c r="N440" s="71">
        <v>25.613894999999999</v>
      </c>
      <c r="O440" s="71">
        <v>96.341352999999998</v>
      </c>
      <c r="P440" s="419" t="s">
        <v>761</v>
      </c>
      <c r="Q440" s="71" t="s">
        <v>780</v>
      </c>
      <c r="R440" s="422">
        <v>47</v>
      </c>
      <c r="S440" s="422">
        <v>225</v>
      </c>
      <c r="T440" s="105"/>
      <c r="U440" s="101"/>
      <c r="V440" s="71" t="s">
        <v>225</v>
      </c>
      <c r="W440" s="419"/>
      <c r="X440" s="542"/>
      <c r="Y440" s="542"/>
      <c r="Z440" s="542"/>
    </row>
    <row r="441" spans="1:26" s="71" customFormat="1" ht="14.25" customHeight="1">
      <c r="A441" s="419" t="s">
        <v>38</v>
      </c>
      <c r="B441" s="419" t="s">
        <v>142</v>
      </c>
      <c r="C441" s="419" t="s">
        <v>253</v>
      </c>
      <c r="D441" s="472" t="s">
        <v>2897</v>
      </c>
      <c r="E441" s="71" t="s">
        <v>1565</v>
      </c>
      <c r="F441" s="71" t="s">
        <v>1671</v>
      </c>
      <c r="G441" s="71" t="s">
        <v>1672</v>
      </c>
      <c r="H441" s="71" t="s">
        <v>42</v>
      </c>
      <c r="I441" s="71" t="s">
        <v>2142</v>
      </c>
      <c r="J441" s="71" t="s">
        <v>44</v>
      </c>
      <c r="K441" s="71" t="s">
        <v>44</v>
      </c>
      <c r="L441" s="71" t="s">
        <v>776</v>
      </c>
      <c r="M441" s="71" t="s">
        <v>45</v>
      </c>
      <c r="N441" s="419">
        <v>25.56551</v>
      </c>
      <c r="O441" s="419">
        <v>96.279200000000003</v>
      </c>
      <c r="P441" s="419" t="s">
        <v>761</v>
      </c>
      <c r="Q441" s="71" t="s">
        <v>780</v>
      </c>
      <c r="R441" s="422">
        <v>10</v>
      </c>
      <c r="S441" s="422">
        <v>38</v>
      </c>
      <c r="T441" s="105"/>
      <c r="U441" s="424"/>
      <c r="V441" s="71" t="s">
        <v>253</v>
      </c>
      <c r="W441" s="419"/>
      <c r="X441" s="542"/>
      <c r="Y441" s="542"/>
      <c r="Z441" s="542"/>
    </row>
    <row r="442" spans="1:26" s="71" customFormat="1" ht="14.25" customHeight="1">
      <c r="A442" s="419" t="s">
        <v>38</v>
      </c>
      <c r="B442" s="420" t="s">
        <v>142</v>
      </c>
      <c r="C442" s="420" t="s">
        <v>254</v>
      </c>
      <c r="D442" s="472" t="s">
        <v>1655</v>
      </c>
      <c r="E442" s="71" t="s">
        <v>1586</v>
      </c>
      <c r="F442" s="71" t="s">
        <v>1671</v>
      </c>
      <c r="G442" s="71" t="s">
        <v>1672</v>
      </c>
      <c r="H442" s="71" t="s">
        <v>42</v>
      </c>
      <c r="I442" s="71" t="s">
        <v>135</v>
      </c>
      <c r="J442" s="71" t="s">
        <v>44</v>
      </c>
      <c r="K442" s="71" t="s">
        <v>44</v>
      </c>
      <c r="L442" s="71" t="s">
        <v>760</v>
      </c>
      <c r="M442" s="71" t="s">
        <v>45</v>
      </c>
      <c r="N442" s="71">
        <v>25.668399999999998</v>
      </c>
      <c r="O442" s="71">
        <v>96.353030000000004</v>
      </c>
      <c r="P442" s="419" t="s">
        <v>761</v>
      </c>
      <c r="Q442" s="71" t="s">
        <v>780</v>
      </c>
      <c r="R442" s="422"/>
      <c r="S442" s="423"/>
      <c r="T442" s="105"/>
      <c r="U442" s="424"/>
      <c r="V442" s="71" t="s">
        <v>254</v>
      </c>
      <c r="W442" s="413" t="s">
        <v>2681</v>
      </c>
      <c r="X442" s="542"/>
      <c r="Y442" s="542"/>
      <c r="Z442" s="542"/>
    </row>
    <row r="443" spans="1:26" s="71" customFormat="1" ht="14.25" customHeight="1">
      <c r="A443" s="419" t="s">
        <v>38</v>
      </c>
      <c r="B443" s="420" t="s">
        <v>142</v>
      </c>
      <c r="C443" s="420" t="s">
        <v>182</v>
      </c>
      <c r="D443" s="472" t="s">
        <v>2897</v>
      </c>
      <c r="E443" s="71" t="s">
        <v>1597</v>
      </c>
      <c r="F443" s="71" t="s">
        <v>1725</v>
      </c>
      <c r="G443" s="71" t="s">
        <v>1726</v>
      </c>
      <c r="H443" s="71" t="s">
        <v>42</v>
      </c>
      <c r="I443" s="71" t="s">
        <v>135</v>
      </c>
      <c r="J443" s="71" t="s">
        <v>44</v>
      </c>
      <c r="K443" s="420" t="s">
        <v>44</v>
      </c>
      <c r="L443" s="420" t="s">
        <v>44</v>
      </c>
      <c r="M443" s="71" t="s">
        <v>45</v>
      </c>
      <c r="N443" s="71">
        <v>25.920006000000001</v>
      </c>
      <c r="O443" s="71">
        <v>96.662092000000001</v>
      </c>
      <c r="P443" s="71" t="s">
        <v>761</v>
      </c>
      <c r="Q443" s="71" t="s">
        <v>762</v>
      </c>
      <c r="R443" s="422">
        <v>28</v>
      </c>
      <c r="S443" s="422">
        <v>126</v>
      </c>
      <c r="T443" s="105"/>
      <c r="U443" s="101"/>
      <c r="W443" s="419"/>
      <c r="X443" s="542"/>
      <c r="Y443" s="542"/>
      <c r="Z443" s="542"/>
    </row>
    <row r="444" spans="1:26" s="71" customFormat="1" ht="14.25" customHeight="1">
      <c r="A444" s="419" t="s">
        <v>38</v>
      </c>
      <c r="B444" s="419" t="s">
        <v>142</v>
      </c>
      <c r="C444" s="420" t="s">
        <v>183</v>
      </c>
      <c r="D444" s="472" t="s">
        <v>2897</v>
      </c>
      <c r="E444" s="71" t="s">
        <v>1598</v>
      </c>
      <c r="F444" s="71" t="s">
        <v>1725</v>
      </c>
      <c r="G444" s="71" t="s">
        <v>1726</v>
      </c>
      <c r="H444" s="71" t="s">
        <v>42</v>
      </c>
      <c r="I444" s="71" t="s">
        <v>2142</v>
      </c>
      <c r="J444" s="71" t="s">
        <v>44</v>
      </c>
      <c r="K444" s="420" t="s">
        <v>44</v>
      </c>
      <c r="L444" s="420" t="s">
        <v>776</v>
      </c>
      <c r="M444" s="71" t="s">
        <v>45</v>
      </c>
      <c r="N444" s="71">
        <v>25.920006000000001</v>
      </c>
      <c r="O444" s="71">
        <v>96.662092000000001</v>
      </c>
      <c r="P444" s="71" t="s">
        <v>761</v>
      </c>
      <c r="Q444" s="71" t="s">
        <v>762</v>
      </c>
      <c r="R444" s="422">
        <v>4</v>
      </c>
      <c r="S444" s="422">
        <v>11</v>
      </c>
      <c r="T444" s="105"/>
      <c r="U444" s="101" t="s">
        <v>2784</v>
      </c>
      <c r="W444" s="419"/>
      <c r="X444" s="542"/>
      <c r="Y444" s="542"/>
      <c r="Z444" s="542"/>
    </row>
    <row r="445" spans="1:26" s="71" customFormat="1" ht="14.25" customHeight="1">
      <c r="A445" s="419" t="s">
        <v>38</v>
      </c>
      <c r="B445" s="419" t="s">
        <v>142</v>
      </c>
      <c r="C445" s="420" t="s">
        <v>185</v>
      </c>
      <c r="D445" s="472" t="s">
        <v>1654</v>
      </c>
      <c r="J445" s="71" t="s">
        <v>1449</v>
      </c>
      <c r="K445" s="420" t="s">
        <v>44</v>
      </c>
      <c r="L445" s="420" t="s">
        <v>44</v>
      </c>
      <c r="M445" s="71" t="s">
        <v>45</v>
      </c>
      <c r="P445" s="71" t="s">
        <v>761</v>
      </c>
      <c r="Q445" s="71" t="s">
        <v>762</v>
      </c>
      <c r="R445" s="422"/>
      <c r="S445" s="423"/>
      <c r="T445" s="105">
        <v>42824</v>
      </c>
      <c r="U445" s="101"/>
      <c r="W445" s="419"/>
      <c r="X445" s="542"/>
      <c r="Y445" s="542"/>
      <c r="Z445" s="542"/>
    </row>
    <row r="446" spans="1:26" s="71" customFormat="1" ht="14.25" customHeight="1">
      <c r="A446" s="419" t="s">
        <v>38</v>
      </c>
      <c r="B446" s="420" t="s">
        <v>142</v>
      </c>
      <c r="C446" s="420" t="s">
        <v>1069</v>
      </c>
      <c r="D446" s="472" t="s">
        <v>1655</v>
      </c>
      <c r="E446" s="71" t="s">
        <v>1599</v>
      </c>
      <c r="F446" s="71" t="s">
        <v>1725</v>
      </c>
      <c r="G446" s="71" t="s">
        <v>1726</v>
      </c>
      <c r="I446" s="71">
        <v>0</v>
      </c>
      <c r="J446" s="71" t="s">
        <v>44</v>
      </c>
      <c r="K446" s="71" t="s">
        <v>44</v>
      </c>
      <c r="L446" s="71" t="s">
        <v>760</v>
      </c>
      <c r="M446" s="71" t="s">
        <v>45</v>
      </c>
      <c r="N446" s="419">
        <v>25.920006000000001</v>
      </c>
      <c r="O446" s="419">
        <v>96.662092000000001</v>
      </c>
      <c r="P446" s="71" t="s">
        <v>761</v>
      </c>
      <c r="Q446" s="71" t="s">
        <v>762</v>
      </c>
      <c r="R446" s="422"/>
      <c r="S446" s="423"/>
      <c r="T446" s="105"/>
      <c r="U446" s="101"/>
      <c r="W446" s="413" t="s">
        <v>2150</v>
      </c>
      <c r="X446" s="542"/>
      <c r="Y446" s="542"/>
      <c r="Z446" s="542"/>
    </row>
    <row r="447" spans="1:26" s="71" customFormat="1" ht="14.25" customHeight="1">
      <c r="A447" s="419" t="s">
        <v>38</v>
      </c>
      <c r="B447" s="420" t="s">
        <v>142</v>
      </c>
      <c r="C447" s="420" t="s">
        <v>1066</v>
      </c>
      <c r="D447" s="472" t="s">
        <v>1655</v>
      </c>
      <c r="E447" s="420" t="s">
        <v>1592</v>
      </c>
      <c r="F447" s="419" t="s">
        <v>1725</v>
      </c>
      <c r="G447" s="419" t="s">
        <v>1725</v>
      </c>
      <c r="H447" s="419"/>
      <c r="I447" s="419">
        <v>0</v>
      </c>
      <c r="J447" s="419" t="s">
        <v>44</v>
      </c>
      <c r="K447" s="419" t="s">
        <v>44</v>
      </c>
      <c r="L447" s="419" t="s">
        <v>760</v>
      </c>
      <c r="M447" s="419" t="s">
        <v>45</v>
      </c>
      <c r="N447" s="419">
        <v>25.806999999999999</v>
      </c>
      <c r="O447" s="419">
        <v>96.637</v>
      </c>
      <c r="P447" s="419" t="s">
        <v>761</v>
      </c>
      <c r="Q447" s="419" t="s">
        <v>762</v>
      </c>
      <c r="R447" s="422"/>
      <c r="S447" s="423"/>
      <c r="T447" s="442">
        <v>42983</v>
      </c>
      <c r="U447" s="424" t="s">
        <v>1067</v>
      </c>
      <c r="V447" s="419"/>
      <c r="W447" s="413" t="s">
        <v>2156</v>
      </c>
      <c r="X447" s="542"/>
      <c r="Y447" s="542"/>
      <c r="Z447" s="542"/>
    </row>
    <row r="448" spans="1:26" s="71" customFormat="1" ht="14.25" customHeight="1">
      <c r="A448" s="419" t="s">
        <v>38</v>
      </c>
      <c r="B448" s="420" t="s">
        <v>142</v>
      </c>
      <c r="C448" s="420" t="s">
        <v>1056</v>
      </c>
      <c r="D448" s="472" t="s">
        <v>1655</v>
      </c>
      <c r="E448" s="71" t="s">
        <v>1568</v>
      </c>
      <c r="F448" s="71" t="s">
        <v>1671</v>
      </c>
      <c r="G448" s="71" t="s">
        <v>1671</v>
      </c>
      <c r="H448" s="71" t="s">
        <v>42</v>
      </c>
      <c r="I448" s="71" t="s">
        <v>1314</v>
      </c>
      <c r="J448" s="71" t="s">
        <v>44</v>
      </c>
      <c r="K448" s="419" t="s">
        <v>44</v>
      </c>
      <c r="L448" s="419" t="s">
        <v>760</v>
      </c>
      <c r="M448" s="71" t="s">
        <v>45</v>
      </c>
      <c r="N448" s="71">
        <v>25.57921</v>
      </c>
      <c r="O448" s="71">
        <v>96.288250000000005</v>
      </c>
      <c r="P448" s="71" t="s">
        <v>761</v>
      </c>
      <c r="R448" s="422"/>
      <c r="S448" s="100"/>
      <c r="T448" s="105"/>
      <c r="U448" s="101"/>
      <c r="V448" s="71" t="s">
        <v>1056</v>
      </c>
      <c r="W448" s="71" t="s">
        <v>2157</v>
      </c>
      <c r="X448" s="542"/>
      <c r="Y448" s="542"/>
      <c r="Z448" s="542"/>
    </row>
    <row r="449" spans="1:26" s="71" customFormat="1" ht="14.25" customHeight="1">
      <c r="A449" s="419" t="s">
        <v>38</v>
      </c>
      <c r="B449" s="420" t="s">
        <v>142</v>
      </c>
      <c r="C449" s="420" t="s">
        <v>255</v>
      </c>
      <c r="D449" s="472" t="s">
        <v>2897</v>
      </c>
      <c r="E449" s="71" t="s">
        <v>1567</v>
      </c>
      <c r="F449" s="71" t="s">
        <v>1671</v>
      </c>
      <c r="G449" s="71" t="s">
        <v>1832</v>
      </c>
      <c r="H449" s="71" t="s">
        <v>42</v>
      </c>
      <c r="I449" s="71" t="s">
        <v>135</v>
      </c>
      <c r="J449" s="71" t="s">
        <v>44</v>
      </c>
      <c r="K449" s="71" t="s">
        <v>44</v>
      </c>
      <c r="L449" s="71" t="s">
        <v>44</v>
      </c>
      <c r="M449" s="71" t="s">
        <v>45</v>
      </c>
      <c r="N449" s="71">
        <v>25.577559999999998</v>
      </c>
      <c r="O449" s="71">
        <v>96.286680000000004</v>
      </c>
      <c r="P449" s="71" t="s">
        <v>761</v>
      </c>
      <c r="Q449" s="71" t="s">
        <v>780</v>
      </c>
      <c r="R449" s="99">
        <v>32</v>
      </c>
      <c r="S449" s="422">
        <v>173</v>
      </c>
      <c r="T449" s="105"/>
      <c r="U449" s="101"/>
      <c r="V449" s="71" t="s">
        <v>255</v>
      </c>
      <c r="W449" s="419"/>
      <c r="X449" s="542"/>
      <c r="Y449" s="542"/>
      <c r="Z449" s="542"/>
    </row>
    <row r="450" spans="1:26" s="71" customFormat="1" ht="14.25" customHeight="1">
      <c r="A450" s="419" t="s">
        <v>38</v>
      </c>
      <c r="B450" s="420" t="s">
        <v>142</v>
      </c>
      <c r="C450" s="420" t="s">
        <v>256</v>
      </c>
      <c r="D450" s="472" t="s">
        <v>2897</v>
      </c>
      <c r="E450" s="71" t="s">
        <v>1570</v>
      </c>
      <c r="F450" s="419" t="s">
        <v>1833</v>
      </c>
      <c r="G450" s="71" t="s">
        <v>1833</v>
      </c>
      <c r="H450" s="71" t="s">
        <v>42</v>
      </c>
      <c r="I450" s="71" t="s">
        <v>135</v>
      </c>
      <c r="J450" s="71" t="s">
        <v>44</v>
      </c>
      <c r="K450" s="71" t="s">
        <v>44</v>
      </c>
      <c r="L450" s="71" t="s">
        <v>44</v>
      </c>
      <c r="M450" s="71" t="s">
        <v>45</v>
      </c>
      <c r="N450" s="71">
        <v>25.599250000000001</v>
      </c>
      <c r="O450" s="71">
        <v>96.306910999999999</v>
      </c>
      <c r="P450" s="71" t="s">
        <v>761</v>
      </c>
      <c r="Q450" s="71" t="s">
        <v>780</v>
      </c>
      <c r="R450" s="422">
        <v>16</v>
      </c>
      <c r="S450" s="422">
        <v>69</v>
      </c>
      <c r="T450" s="105"/>
      <c r="U450" s="101"/>
      <c r="V450" s="71" t="s">
        <v>256</v>
      </c>
      <c r="W450" s="419"/>
      <c r="X450" s="542"/>
      <c r="Y450" s="542"/>
      <c r="Z450" s="542"/>
    </row>
    <row r="451" spans="1:26" s="71" customFormat="1" ht="14.25" customHeight="1">
      <c r="A451" s="419" t="s">
        <v>38</v>
      </c>
      <c r="B451" s="419" t="s">
        <v>775</v>
      </c>
      <c r="C451" s="419" t="s">
        <v>774</v>
      </c>
      <c r="D451" s="472" t="s">
        <v>1655</v>
      </c>
      <c r="E451" s="71" t="s">
        <v>1318</v>
      </c>
      <c r="F451" s="71">
        <v>0</v>
      </c>
      <c r="G451" s="71">
        <v>0</v>
      </c>
      <c r="I451" s="71">
        <v>0</v>
      </c>
      <c r="J451" s="71" t="s">
        <v>44</v>
      </c>
      <c r="K451" s="419" t="s">
        <v>44</v>
      </c>
      <c r="L451" s="419" t="s">
        <v>760</v>
      </c>
      <c r="M451" s="71" t="s">
        <v>45</v>
      </c>
      <c r="P451" s="71" t="s">
        <v>761</v>
      </c>
      <c r="R451" s="422"/>
      <c r="S451" s="423"/>
      <c r="T451" s="105"/>
      <c r="U451" s="101"/>
      <c r="V451" s="71" t="s">
        <v>774</v>
      </c>
      <c r="W451" s="419" t="s">
        <v>2158</v>
      </c>
      <c r="X451" s="542"/>
      <c r="Y451" s="542"/>
      <c r="Z451" s="542"/>
    </row>
    <row r="452" spans="1:26" s="71" customFormat="1" ht="14.25" customHeight="1">
      <c r="A452" s="419" t="s">
        <v>38</v>
      </c>
      <c r="B452" s="419" t="s">
        <v>1073</v>
      </c>
      <c r="C452" s="419" t="s">
        <v>1072</v>
      </c>
      <c r="D452" s="472" t="s">
        <v>1655</v>
      </c>
      <c r="E452" s="420" t="s">
        <v>1603</v>
      </c>
      <c r="F452" s="71" t="s">
        <v>1727</v>
      </c>
      <c r="G452" s="71" t="s">
        <v>1072</v>
      </c>
      <c r="I452" s="71">
        <v>0</v>
      </c>
      <c r="J452" s="71" t="s">
        <v>44</v>
      </c>
      <c r="K452" s="419" t="s">
        <v>44</v>
      </c>
      <c r="L452" s="419" t="s">
        <v>760</v>
      </c>
      <c r="M452" s="71" t="s">
        <v>45</v>
      </c>
      <c r="N452" s="71">
        <v>26.890058</v>
      </c>
      <c r="O452" s="71">
        <v>98.144502500000002</v>
      </c>
      <c r="P452" s="419" t="s">
        <v>761</v>
      </c>
      <c r="R452" s="422"/>
      <c r="S452" s="423"/>
      <c r="T452" s="105"/>
      <c r="U452" s="101"/>
      <c r="V452" s="71" t="s">
        <v>1072</v>
      </c>
      <c r="W452" s="413" t="s">
        <v>2159</v>
      </c>
      <c r="X452" s="542"/>
      <c r="Y452" s="542"/>
      <c r="Z452" s="542"/>
    </row>
    <row r="453" spans="1:26" s="71" customFormat="1" ht="14.25" customHeight="1">
      <c r="A453" s="419" t="s">
        <v>38</v>
      </c>
      <c r="B453" s="419" t="s">
        <v>1078</v>
      </c>
      <c r="C453" s="71" t="s">
        <v>1077</v>
      </c>
      <c r="D453" s="472" t="s">
        <v>1655</v>
      </c>
      <c r="E453" s="71" t="s">
        <v>1606</v>
      </c>
      <c r="F453" s="71">
        <v>0</v>
      </c>
      <c r="G453" s="71">
        <v>0</v>
      </c>
      <c r="I453" s="71">
        <v>0</v>
      </c>
      <c r="J453" s="71" t="s">
        <v>44</v>
      </c>
      <c r="K453" s="71" t="s">
        <v>44</v>
      </c>
      <c r="L453" s="71" t="s">
        <v>760</v>
      </c>
      <c r="M453" s="71" t="s">
        <v>45</v>
      </c>
      <c r="N453" s="71">
        <v>27.274059999999999</v>
      </c>
      <c r="O453" s="71">
        <v>97.586470000000006</v>
      </c>
      <c r="P453" s="419" t="s">
        <v>761</v>
      </c>
      <c r="R453" s="422"/>
      <c r="S453" s="423"/>
      <c r="T453" s="105"/>
      <c r="U453" s="101"/>
      <c r="V453" s="71" t="s">
        <v>1079</v>
      </c>
      <c r="W453" s="413" t="s">
        <v>2160</v>
      </c>
      <c r="X453" s="542"/>
      <c r="Y453" s="542"/>
      <c r="Z453" s="542"/>
    </row>
    <row r="454" spans="1:26" s="71" customFormat="1" ht="14.25" customHeight="1">
      <c r="A454" s="420" t="s">
        <v>38</v>
      </c>
      <c r="B454" s="420" t="s">
        <v>1304</v>
      </c>
      <c r="C454" s="420" t="s">
        <v>1881</v>
      </c>
      <c r="D454" s="421" t="s">
        <v>1874</v>
      </c>
      <c r="E454" s="429"/>
      <c r="F454" s="429"/>
      <c r="G454" s="429"/>
      <c r="H454" s="429"/>
      <c r="I454" s="429"/>
      <c r="J454" s="71" t="s">
        <v>1449</v>
      </c>
      <c r="K454" s="429"/>
      <c r="L454" s="429"/>
      <c r="P454" s="71" t="s">
        <v>761</v>
      </c>
      <c r="R454" s="430"/>
      <c r="S454" s="423"/>
      <c r="T454" s="105"/>
      <c r="U454" s="101"/>
      <c r="W454" s="419"/>
      <c r="X454" s="542"/>
      <c r="Y454" s="542"/>
      <c r="Z454" s="542"/>
    </row>
    <row r="455" spans="1:26" s="71" customFormat="1" ht="14.25" customHeight="1">
      <c r="A455" s="420" t="s">
        <v>38</v>
      </c>
      <c r="B455" s="420" t="s">
        <v>1304</v>
      </c>
      <c r="C455" s="420" t="s">
        <v>1305</v>
      </c>
      <c r="D455" s="421" t="s">
        <v>1874</v>
      </c>
      <c r="E455" s="429"/>
      <c r="F455" s="429"/>
      <c r="G455" s="429"/>
      <c r="H455" s="429"/>
      <c r="I455" s="429"/>
      <c r="J455" s="419" t="s">
        <v>1449</v>
      </c>
      <c r="K455" s="429"/>
      <c r="L455" s="429"/>
      <c r="M455" s="420"/>
      <c r="N455" s="420"/>
      <c r="O455" s="420"/>
      <c r="P455" s="419" t="s">
        <v>761</v>
      </c>
      <c r="Q455" s="420"/>
      <c r="R455" s="431"/>
      <c r="S455" s="427"/>
      <c r="T455" s="443"/>
      <c r="U455" s="428"/>
      <c r="V455" s="420"/>
      <c r="W455" s="419"/>
      <c r="X455" s="542"/>
      <c r="Y455" s="542"/>
      <c r="Z455" s="542"/>
    </row>
    <row r="456" spans="1:26" s="71" customFormat="1" ht="14.25" customHeight="1">
      <c r="A456" s="419" t="s">
        <v>38</v>
      </c>
      <c r="B456" s="419" t="s">
        <v>39</v>
      </c>
      <c r="C456" s="419" t="s">
        <v>765</v>
      </c>
      <c r="D456" s="472" t="s">
        <v>1655</v>
      </c>
      <c r="E456" s="419" t="s">
        <v>1309</v>
      </c>
      <c r="F456" s="419">
        <v>0</v>
      </c>
      <c r="G456" s="419">
        <v>0</v>
      </c>
      <c r="H456" s="419"/>
      <c r="I456" s="419">
        <v>0</v>
      </c>
      <c r="J456" s="71" t="s">
        <v>44</v>
      </c>
      <c r="K456" s="71" t="s">
        <v>44</v>
      </c>
      <c r="L456" s="71" t="s">
        <v>760</v>
      </c>
      <c r="M456" s="419" t="s">
        <v>45</v>
      </c>
      <c r="N456" s="419"/>
      <c r="O456" s="419"/>
      <c r="P456" s="419" t="s">
        <v>761</v>
      </c>
      <c r="Q456" s="419"/>
      <c r="R456" s="422"/>
      <c r="S456" s="423"/>
      <c r="T456" s="442"/>
      <c r="U456" s="424"/>
      <c r="V456" s="419" t="s">
        <v>765</v>
      </c>
      <c r="W456" s="71" t="s">
        <v>2161</v>
      </c>
      <c r="X456" s="542"/>
      <c r="Y456" s="542"/>
      <c r="Z456" s="542"/>
    </row>
    <row r="457" spans="1:26" s="71" customFormat="1" ht="14.25" customHeight="1">
      <c r="A457" s="419" t="s">
        <v>38</v>
      </c>
      <c r="B457" s="419" t="s">
        <v>39</v>
      </c>
      <c r="C457" s="419" t="s">
        <v>766</v>
      </c>
      <c r="D457" s="472" t="s">
        <v>1655</v>
      </c>
      <c r="E457" s="71" t="s">
        <v>1310</v>
      </c>
      <c r="F457" s="71">
        <v>0</v>
      </c>
      <c r="G457" s="71">
        <v>0</v>
      </c>
      <c r="I457" s="71">
        <v>0</v>
      </c>
      <c r="J457" s="71" t="s">
        <v>44</v>
      </c>
      <c r="K457" s="71" t="s">
        <v>44</v>
      </c>
      <c r="L457" s="71" t="s">
        <v>760</v>
      </c>
      <c r="M457" s="71" t="s">
        <v>45</v>
      </c>
      <c r="P457" s="419" t="s">
        <v>761</v>
      </c>
      <c r="R457" s="422"/>
      <c r="S457" s="423"/>
      <c r="T457" s="105"/>
      <c r="U457" s="101"/>
      <c r="V457" s="71" t="s">
        <v>766</v>
      </c>
      <c r="W457" s="413" t="s">
        <v>2162</v>
      </c>
      <c r="X457" s="542"/>
      <c r="Y457" s="542"/>
      <c r="Z457" s="542"/>
    </row>
    <row r="458" spans="1:26" s="71" customFormat="1" ht="14.25" customHeight="1">
      <c r="A458" s="419" t="s">
        <v>38</v>
      </c>
      <c r="B458" s="419" t="s">
        <v>39</v>
      </c>
      <c r="C458" s="419" t="s">
        <v>767</v>
      </c>
      <c r="D458" s="472" t="s">
        <v>1655</v>
      </c>
      <c r="E458" s="71" t="s">
        <v>1311</v>
      </c>
      <c r="F458" s="71">
        <v>0</v>
      </c>
      <c r="G458" s="71">
        <v>0</v>
      </c>
      <c r="I458" s="71">
        <v>0</v>
      </c>
      <c r="J458" s="71" t="s">
        <v>44</v>
      </c>
      <c r="K458" s="71" t="s">
        <v>44</v>
      </c>
      <c r="L458" s="71" t="s">
        <v>760</v>
      </c>
      <c r="M458" s="71" t="s">
        <v>45</v>
      </c>
      <c r="P458" s="71" t="s">
        <v>761</v>
      </c>
      <c r="R458" s="422"/>
      <c r="S458" s="423"/>
      <c r="T458" s="105"/>
      <c r="U458" s="101"/>
      <c r="V458" s="71" t="s">
        <v>767</v>
      </c>
      <c r="W458" s="71" t="s">
        <v>2161</v>
      </c>
      <c r="X458" s="542"/>
      <c r="Y458" s="542"/>
      <c r="Z458" s="542"/>
    </row>
    <row r="459" spans="1:26" s="71" customFormat="1" ht="14.25" customHeight="1">
      <c r="A459" s="419" t="s">
        <v>38</v>
      </c>
      <c r="B459" s="419" t="s">
        <v>39</v>
      </c>
      <c r="C459" s="419" t="s">
        <v>1898</v>
      </c>
      <c r="D459" s="472" t="s">
        <v>2897</v>
      </c>
      <c r="E459" s="71" t="s">
        <v>1451</v>
      </c>
      <c r="F459" s="71" t="s">
        <v>1695</v>
      </c>
      <c r="G459" s="71" t="s">
        <v>1695</v>
      </c>
      <c r="H459" s="71" t="s">
        <v>42</v>
      </c>
      <c r="I459" s="71" t="s">
        <v>43</v>
      </c>
      <c r="J459" s="71" t="s">
        <v>44</v>
      </c>
      <c r="K459" s="71" t="s">
        <v>44</v>
      </c>
      <c r="L459" s="71" t="s">
        <v>44</v>
      </c>
      <c r="M459" s="71" t="s">
        <v>778</v>
      </c>
      <c r="N459" s="71">
        <v>24.002433</v>
      </c>
      <c r="O459" s="71">
        <v>97.609832999999995</v>
      </c>
      <c r="P459" s="71" t="s">
        <v>761</v>
      </c>
      <c r="Q459" s="71" t="s">
        <v>762</v>
      </c>
      <c r="R459" s="422">
        <v>357</v>
      </c>
      <c r="S459" s="422">
        <v>1692</v>
      </c>
      <c r="T459" s="105"/>
      <c r="U459" s="101"/>
      <c r="W459" s="419"/>
      <c r="X459" s="542"/>
      <c r="Y459" s="542"/>
      <c r="Z459" s="542"/>
    </row>
    <row r="460" spans="1:26" s="71" customFormat="1" ht="14.25" customHeight="1">
      <c r="A460" s="419" t="s">
        <v>38</v>
      </c>
      <c r="B460" s="419" t="s">
        <v>39</v>
      </c>
      <c r="C460" s="419" t="s">
        <v>1882</v>
      </c>
      <c r="D460" s="472" t="s">
        <v>1654</v>
      </c>
      <c r="J460" s="71" t="s">
        <v>1449</v>
      </c>
      <c r="K460" s="71" t="s">
        <v>44</v>
      </c>
      <c r="L460" s="71" t="s">
        <v>1087</v>
      </c>
      <c r="M460" s="71" t="s">
        <v>778</v>
      </c>
      <c r="P460" s="71" t="s">
        <v>761</v>
      </c>
      <c r="R460" s="422"/>
      <c r="S460" s="423"/>
      <c r="T460" s="105"/>
      <c r="U460" s="101"/>
      <c r="V460" s="71" t="s">
        <v>1096</v>
      </c>
      <c r="W460" s="419"/>
      <c r="X460" s="542"/>
      <c r="Y460" s="542"/>
      <c r="Z460" s="542"/>
    </row>
    <row r="461" spans="1:26" s="71" customFormat="1" ht="14.25" customHeight="1">
      <c r="A461" s="419" t="s">
        <v>38</v>
      </c>
      <c r="B461" s="419" t="s">
        <v>39</v>
      </c>
      <c r="C461" s="419" t="s">
        <v>1899</v>
      </c>
      <c r="D461" s="472" t="s">
        <v>1655</v>
      </c>
      <c r="E461" s="71" t="s">
        <v>1450</v>
      </c>
      <c r="F461" s="71" t="s">
        <v>1695</v>
      </c>
      <c r="G461" s="71" t="s">
        <v>1695</v>
      </c>
      <c r="H461" s="71" t="s">
        <v>42</v>
      </c>
      <c r="I461" s="71" t="s">
        <v>43</v>
      </c>
      <c r="J461" s="71" t="s">
        <v>44</v>
      </c>
      <c r="K461" s="71" t="s">
        <v>44</v>
      </c>
      <c r="L461" s="71" t="s">
        <v>760</v>
      </c>
      <c r="M461" s="71" t="s">
        <v>778</v>
      </c>
      <c r="N461" s="71">
        <v>24.000250000000001</v>
      </c>
      <c r="O461" s="71">
        <v>97.608249999999998</v>
      </c>
      <c r="P461" s="71" t="s">
        <v>761</v>
      </c>
      <c r="R461" s="422"/>
      <c r="S461" s="423"/>
      <c r="T461" s="105"/>
      <c r="U461" s="101"/>
      <c r="V461" s="71" t="s">
        <v>989</v>
      </c>
      <c r="W461" s="413" t="s">
        <v>2163</v>
      </c>
      <c r="X461" s="542"/>
      <c r="Y461" s="542"/>
      <c r="Z461" s="542"/>
    </row>
    <row r="462" spans="1:26" s="71" customFormat="1" ht="14.25" customHeight="1">
      <c r="A462" s="419" t="s">
        <v>38</v>
      </c>
      <c r="B462" s="419" t="s">
        <v>39</v>
      </c>
      <c r="C462" s="419" t="s">
        <v>983</v>
      </c>
      <c r="D462" s="472" t="s">
        <v>1655</v>
      </c>
      <c r="E462" s="71" t="s">
        <v>1443</v>
      </c>
      <c r="F462" s="71" t="s">
        <v>1689</v>
      </c>
      <c r="G462" s="71">
        <v>0</v>
      </c>
      <c r="H462" s="71" t="s">
        <v>42</v>
      </c>
      <c r="I462" s="71" t="s">
        <v>43</v>
      </c>
      <c r="J462" s="71" t="s">
        <v>44</v>
      </c>
      <c r="K462" s="71" t="s">
        <v>44</v>
      </c>
      <c r="L462" s="71" t="s">
        <v>760</v>
      </c>
      <c r="M462" s="71" t="s">
        <v>778</v>
      </c>
      <c r="N462" s="71">
        <v>23.867713999999999</v>
      </c>
      <c r="O462" s="71">
        <v>97.601243999999994</v>
      </c>
      <c r="P462" s="71" t="s">
        <v>761</v>
      </c>
      <c r="R462" s="422"/>
      <c r="S462" s="423"/>
      <c r="T462" s="105"/>
      <c r="U462" s="101"/>
      <c r="V462" s="71" t="s">
        <v>983</v>
      </c>
      <c r="W462" s="419" t="s">
        <v>2164</v>
      </c>
      <c r="X462" s="542"/>
      <c r="Y462" s="542"/>
      <c r="Z462" s="542"/>
    </row>
    <row r="463" spans="1:26" s="71" customFormat="1" ht="14.25" customHeight="1">
      <c r="A463" s="419" t="s">
        <v>38</v>
      </c>
      <c r="B463" s="419" t="s">
        <v>39</v>
      </c>
      <c r="C463" s="419" t="s">
        <v>288</v>
      </c>
      <c r="D463" s="472" t="s">
        <v>2897</v>
      </c>
      <c r="E463" s="71" t="s">
        <v>1455</v>
      </c>
      <c r="F463" s="419"/>
      <c r="H463" s="71" t="s">
        <v>42</v>
      </c>
      <c r="I463" s="71" t="s">
        <v>43</v>
      </c>
      <c r="J463" s="71" t="s">
        <v>44</v>
      </c>
      <c r="K463" s="71" t="s">
        <v>44</v>
      </c>
      <c r="L463" s="71" t="s">
        <v>44</v>
      </c>
      <c r="M463" s="71" t="s">
        <v>778</v>
      </c>
      <c r="N463" s="71">
        <v>24.056132999999999</v>
      </c>
      <c r="O463" s="71">
        <v>97.625617000000005</v>
      </c>
      <c r="P463" s="71" t="s">
        <v>761</v>
      </c>
      <c r="Q463" s="71" t="s">
        <v>762</v>
      </c>
      <c r="R463" s="422">
        <v>522</v>
      </c>
      <c r="S463" s="422">
        <v>2536</v>
      </c>
      <c r="T463" s="105"/>
      <c r="U463" s="101"/>
      <c r="X463" s="542"/>
      <c r="Y463" s="542"/>
      <c r="Z463" s="542"/>
    </row>
    <row r="464" spans="1:26" s="71" customFormat="1" ht="14.25" customHeight="1">
      <c r="A464" s="419" t="s">
        <v>38</v>
      </c>
      <c r="B464" s="419" t="s">
        <v>39</v>
      </c>
      <c r="C464" s="419" t="s">
        <v>984</v>
      </c>
      <c r="D464" s="472" t="s">
        <v>1655</v>
      </c>
      <c r="E464" s="71" t="s">
        <v>1444</v>
      </c>
      <c r="F464" s="71" t="s">
        <v>1690</v>
      </c>
      <c r="G464" s="71">
        <v>0</v>
      </c>
      <c r="H464" s="71" t="s">
        <v>42</v>
      </c>
      <c r="I464" s="71" t="s">
        <v>43</v>
      </c>
      <c r="J464" s="71" t="s">
        <v>44</v>
      </c>
      <c r="K464" s="71" t="s">
        <v>44</v>
      </c>
      <c r="L464" s="71" t="s">
        <v>760</v>
      </c>
      <c r="M464" s="71" t="s">
        <v>778</v>
      </c>
      <c r="N464" s="71">
        <v>23.9055</v>
      </c>
      <c r="O464" s="71">
        <v>97.585667000000001</v>
      </c>
      <c r="P464" s="71" t="s">
        <v>761</v>
      </c>
      <c r="R464" s="99"/>
      <c r="S464" s="100"/>
      <c r="T464" s="105"/>
      <c r="U464" s="101"/>
      <c r="V464" s="71" t="s">
        <v>984</v>
      </c>
      <c r="W464" s="413" t="s">
        <v>2165</v>
      </c>
      <c r="X464" s="542"/>
      <c r="Y464" s="542"/>
      <c r="Z464" s="542"/>
    </row>
    <row r="465" spans="1:26" s="71" customFormat="1" ht="14.25" customHeight="1">
      <c r="A465" s="419" t="s">
        <v>38</v>
      </c>
      <c r="B465" s="419" t="s">
        <v>39</v>
      </c>
      <c r="C465" s="419" t="s">
        <v>177</v>
      </c>
      <c r="D465" s="472" t="s">
        <v>2897</v>
      </c>
      <c r="E465" s="71" t="s">
        <v>1446</v>
      </c>
      <c r="F465" s="71" t="s">
        <v>177</v>
      </c>
      <c r="G465" s="71" t="s">
        <v>177</v>
      </c>
      <c r="H465" s="71" t="s">
        <v>42</v>
      </c>
      <c r="I465" s="71" t="s">
        <v>135</v>
      </c>
      <c r="J465" s="71" t="s">
        <v>44</v>
      </c>
      <c r="K465" s="71" t="s">
        <v>44</v>
      </c>
      <c r="L465" s="71" t="s">
        <v>44</v>
      </c>
      <c r="M465" s="71" t="s">
        <v>45</v>
      </c>
      <c r="N465" s="71">
        <v>23.972453000000002</v>
      </c>
      <c r="O465" s="71">
        <v>97.225881000000001</v>
      </c>
      <c r="P465" s="71" t="s">
        <v>761</v>
      </c>
      <c r="Q465" s="71" t="s">
        <v>780</v>
      </c>
      <c r="R465" s="422">
        <v>432</v>
      </c>
      <c r="S465" s="422">
        <v>2528</v>
      </c>
      <c r="T465" s="105"/>
      <c r="U465" s="101"/>
      <c r="V465" s="71" t="s">
        <v>177</v>
      </c>
      <c r="W465" s="413" t="s">
        <v>2275</v>
      </c>
      <c r="X465" s="542"/>
      <c r="Y465" s="542"/>
      <c r="Z465" s="542"/>
    </row>
    <row r="466" spans="1:26" s="71" customFormat="1" ht="14.25" customHeight="1">
      <c r="A466" s="419" t="s">
        <v>38</v>
      </c>
      <c r="B466" s="419" t="s">
        <v>39</v>
      </c>
      <c r="C466" s="419" t="s">
        <v>40</v>
      </c>
      <c r="D466" s="472" t="s">
        <v>2897</v>
      </c>
      <c r="E466" s="71" t="s">
        <v>1447</v>
      </c>
      <c r="F466" s="71" t="s">
        <v>177</v>
      </c>
      <c r="G466" s="71" t="s">
        <v>177</v>
      </c>
      <c r="H466" s="71" t="s">
        <v>42</v>
      </c>
      <c r="I466" s="71" t="s">
        <v>43</v>
      </c>
      <c r="J466" s="71" t="s">
        <v>44</v>
      </c>
      <c r="K466" s="71" t="s">
        <v>44</v>
      </c>
      <c r="L466" s="71" t="s">
        <v>44</v>
      </c>
      <c r="M466" s="71" t="s">
        <v>45</v>
      </c>
      <c r="N466" s="71">
        <v>23.976571</v>
      </c>
      <c r="O466" s="71">
        <v>97.227057000000002</v>
      </c>
      <c r="P466" s="71" t="s">
        <v>761</v>
      </c>
      <c r="Q466" s="71" t="s">
        <v>780</v>
      </c>
      <c r="R466" s="422">
        <v>156</v>
      </c>
      <c r="S466" s="422">
        <v>694</v>
      </c>
      <c r="T466" s="105"/>
      <c r="U466" s="101"/>
      <c r="V466" s="71" t="s">
        <v>40</v>
      </c>
      <c r="W466" s="419"/>
      <c r="X466" s="542"/>
      <c r="Y466" s="542"/>
      <c r="Z466" s="542"/>
    </row>
    <row r="467" spans="1:26" s="71" customFormat="1" ht="14.25" customHeight="1">
      <c r="A467" s="419" t="s">
        <v>38</v>
      </c>
      <c r="B467" s="419" t="s">
        <v>39</v>
      </c>
      <c r="C467" s="419" t="s">
        <v>987</v>
      </c>
      <c r="D467" s="472" t="s">
        <v>1654</v>
      </c>
      <c r="J467" s="71" t="s">
        <v>1449</v>
      </c>
      <c r="K467" s="71" t="s">
        <v>44</v>
      </c>
      <c r="L467" s="71" t="s">
        <v>44</v>
      </c>
      <c r="M467" s="71" t="s">
        <v>45</v>
      </c>
      <c r="N467" s="71">
        <v>23.989049999999999</v>
      </c>
      <c r="O467" s="71">
        <v>97.225311000000005</v>
      </c>
      <c r="P467" s="71" t="s">
        <v>761</v>
      </c>
      <c r="Q467" s="71" t="s">
        <v>762</v>
      </c>
      <c r="R467" s="422"/>
      <c r="S467" s="423"/>
      <c r="T467" s="105">
        <v>42849</v>
      </c>
      <c r="U467" s="101" t="s">
        <v>988</v>
      </c>
      <c r="W467" s="419"/>
      <c r="X467" s="542"/>
      <c r="Y467" s="542"/>
      <c r="Z467" s="542"/>
    </row>
    <row r="468" spans="1:26" s="71" customFormat="1" ht="14.25" customHeight="1">
      <c r="A468" s="419" t="s">
        <v>38</v>
      </c>
      <c r="B468" s="419" t="s">
        <v>39</v>
      </c>
      <c r="C468" s="419" t="s">
        <v>998</v>
      </c>
      <c r="D468" s="472" t="s">
        <v>1655</v>
      </c>
      <c r="E468" s="71" t="s">
        <v>1460</v>
      </c>
      <c r="F468" s="419" t="s">
        <v>1696</v>
      </c>
      <c r="G468" s="71" t="s">
        <v>1697</v>
      </c>
      <c r="I468" s="71">
        <v>0</v>
      </c>
      <c r="J468" s="71" t="s">
        <v>44</v>
      </c>
      <c r="K468" s="71" t="s">
        <v>44</v>
      </c>
      <c r="L468" s="71" t="s">
        <v>760</v>
      </c>
      <c r="M468" s="71" t="s">
        <v>45</v>
      </c>
      <c r="N468" s="71">
        <v>24.181640000000002</v>
      </c>
      <c r="O468" s="71">
        <v>97.710989999999995</v>
      </c>
      <c r="P468" s="71" t="s">
        <v>761</v>
      </c>
      <c r="Q468" s="71" t="s">
        <v>780</v>
      </c>
      <c r="R468" s="422"/>
      <c r="S468" s="423"/>
      <c r="T468" s="105"/>
      <c r="U468" s="101" t="s">
        <v>999</v>
      </c>
      <c r="V468" s="71" t="s">
        <v>998</v>
      </c>
      <c r="W468" s="419" t="s">
        <v>2166</v>
      </c>
      <c r="X468" s="542"/>
      <c r="Y468" s="542"/>
      <c r="Z468" s="542"/>
    </row>
    <row r="469" spans="1:26" s="71" customFormat="1" ht="14.25" customHeight="1">
      <c r="A469" s="419" t="s">
        <v>38</v>
      </c>
      <c r="B469" s="419" t="s">
        <v>39</v>
      </c>
      <c r="C469" s="419" t="s">
        <v>1000</v>
      </c>
      <c r="D469" s="472" t="s">
        <v>1655</v>
      </c>
      <c r="E469" s="71" t="s">
        <v>1461</v>
      </c>
      <c r="F469" s="71" t="s">
        <v>1696</v>
      </c>
      <c r="G469" s="71" t="s">
        <v>1697</v>
      </c>
      <c r="I469" s="71">
        <v>0</v>
      </c>
      <c r="J469" s="71" t="s">
        <v>44</v>
      </c>
      <c r="K469" s="71" t="s">
        <v>44</v>
      </c>
      <c r="L469" s="71" t="s">
        <v>760</v>
      </c>
      <c r="M469" s="71" t="s">
        <v>45</v>
      </c>
      <c r="N469" s="71">
        <v>24.181640000000002</v>
      </c>
      <c r="O469" s="71">
        <v>97.710989999999995</v>
      </c>
      <c r="P469" s="71" t="s">
        <v>761</v>
      </c>
      <c r="R469" s="422"/>
      <c r="S469" s="423"/>
      <c r="T469" s="105"/>
      <c r="U469" s="101"/>
      <c r="V469" s="71" t="s">
        <v>1000</v>
      </c>
      <c r="W469" s="419" t="s">
        <v>2166</v>
      </c>
      <c r="X469" s="542"/>
      <c r="Y469" s="542"/>
      <c r="Z469" s="542"/>
    </row>
    <row r="470" spans="1:26" s="71" customFormat="1" ht="14.25" customHeight="1">
      <c r="A470" s="419" t="s">
        <v>38</v>
      </c>
      <c r="B470" s="419" t="s">
        <v>39</v>
      </c>
      <c r="C470" s="419" t="s">
        <v>292</v>
      </c>
      <c r="D470" s="472" t="s">
        <v>2897</v>
      </c>
      <c r="E470" s="71" t="s">
        <v>1437</v>
      </c>
      <c r="F470" s="71" t="s">
        <v>1676</v>
      </c>
      <c r="G470" s="71" t="s">
        <v>1676</v>
      </c>
      <c r="H470" s="71" t="s">
        <v>42</v>
      </c>
      <c r="I470" s="71" t="s">
        <v>135</v>
      </c>
      <c r="J470" s="71" t="s">
        <v>44</v>
      </c>
      <c r="K470" s="71" t="s">
        <v>44</v>
      </c>
      <c r="L470" s="71" t="s">
        <v>44</v>
      </c>
      <c r="M470" s="71" t="s">
        <v>45</v>
      </c>
      <c r="N470" s="71">
        <v>23.83013</v>
      </c>
      <c r="O470" s="71">
        <v>97.589979999999997</v>
      </c>
      <c r="P470" s="71" t="s">
        <v>761</v>
      </c>
      <c r="Q470" s="419" t="s">
        <v>780</v>
      </c>
      <c r="R470" s="422">
        <v>127</v>
      </c>
      <c r="S470" s="422">
        <v>653</v>
      </c>
      <c r="T470" s="442"/>
      <c r="U470" s="101"/>
      <c r="V470" s="71" t="s">
        <v>292</v>
      </c>
      <c r="W470" s="419"/>
      <c r="X470" s="542"/>
      <c r="Y470" s="542"/>
      <c r="Z470" s="542"/>
    </row>
    <row r="471" spans="1:26" s="71" customFormat="1" ht="14.25" customHeight="1">
      <c r="A471" s="419" t="s">
        <v>38</v>
      </c>
      <c r="B471" s="419" t="s">
        <v>39</v>
      </c>
      <c r="C471" s="419" t="s">
        <v>1114</v>
      </c>
      <c r="D471" s="472" t="s">
        <v>1654</v>
      </c>
      <c r="J471" s="71" t="s">
        <v>44</v>
      </c>
      <c r="K471" s="71" t="s">
        <v>44</v>
      </c>
      <c r="L471" s="71" t="s">
        <v>760</v>
      </c>
      <c r="M471" s="71" t="s">
        <v>45</v>
      </c>
      <c r="P471" s="71" t="s">
        <v>761</v>
      </c>
      <c r="R471" s="422"/>
      <c r="S471" s="423"/>
      <c r="T471" s="105"/>
      <c r="U471" s="101"/>
      <c r="W471" s="419"/>
      <c r="X471" s="542"/>
      <c r="Y471" s="542"/>
      <c r="Z471" s="542"/>
    </row>
    <row r="472" spans="1:26" s="71" customFormat="1" ht="14.25" customHeight="1">
      <c r="A472" s="419" t="s">
        <v>38</v>
      </c>
      <c r="B472" s="419" t="s">
        <v>39</v>
      </c>
      <c r="C472" s="419" t="s">
        <v>294</v>
      </c>
      <c r="D472" s="472" t="s">
        <v>2897</v>
      </c>
      <c r="E472" s="71" t="s">
        <v>1436</v>
      </c>
      <c r="F472" s="71" t="s">
        <v>1676</v>
      </c>
      <c r="G472" s="71" t="s">
        <v>1676</v>
      </c>
      <c r="H472" s="71" t="s">
        <v>42</v>
      </c>
      <c r="I472" s="71" t="s">
        <v>135</v>
      </c>
      <c r="J472" s="71" t="s">
        <v>44</v>
      </c>
      <c r="K472" s="71" t="s">
        <v>44</v>
      </c>
      <c r="L472" s="71" t="s">
        <v>44</v>
      </c>
      <c r="M472" s="71" t="s">
        <v>45</v>
      </c>
      <c r="N472" s="71">
        <v>23.829599000000002</v>
      </c>
      <c r="O472" s="71">
        <v>97.590767</v>
      </c>
      <c r="P472" s="71" t="s">
        <v>761</v>
      </c>
      <c r="Q472" s="419" t="s">
        <v>780</v>
      </c>
      <c r="R472" s="422">
        <v>156</v>
      </c>
      <c r="S472" s="422">
        <v>650</v>
      </c>
      <c r="T472" s="442"/>
      <c r="U472" s="101"/>
      <c r="V472" s="71" t="s">
        <v>978</v>
      </c>
      <c r="X472" s="542"/>
      <c r="Y472" s="542"/>
      <c r="Z472" s="542"/>
    </row>
    <row r="473" spans="1:26" s="71" customFormat="1" ht="14.25" customHeight="1">
      <c r="A473" s="419" t="s">
        <v>38</v>
      </c>
      <c r="B473" s="419" t="s">
        <v>39</v>
      </c>
      <c r="C473" s="419" t="s">
        <v>295</v>
      </c>
      <c r="D473" s="472" t="s">
        <v>2897</v>
      </c>
      <c r="E473" s="71" t="s">
        <v>1439</v>
      </c>
      <c r="F473" s="71" t="s">
        <v>1676</v>
      </c>
      <c r="G473" s="71" t="s">
        <v>1676</v>
      </c>
      <c r="H473" s="71" t="s">
        <v>42</v>
      </c>
      <c r="I473" s="71" t="s">
        <v>43</v>
      </c>
      <c r="J473" s="71" t="s">
        <v>44</v>
      </c>
      <c r="K473" s="71" t="s">
        <v>44</v>
      </c>
      <c r="L473" s="71" t="s">
        <v>44</v>
      </c>
      <c r="M473" s="71" t="s">
        <v>45</v>
      </c>
      <c r="N473" s="71">
        <v>23.835319999999999</v>
      </c>
      <c r="O473" s="71">
        <v>97.578490000000002</v>
      </c>
      <c r="P473" s="71" t="s">
        <v>761</v>
      </c>
      <c r="Q473" s="71" t="s">
        <v>780</v>
      </c>
      <c r="R473" s="422">
        <v>437</v>
      </c>
      <c r="S473" s="422">
        <v>2316</v>
      </c>
      <c r="T473" s="105"/>
      <c r="U473" s="101"/>
      <c r="V473" s="71" t="s">
        <v>295</v>
      </c>
      <c r="W473" s="419"/>
      <c r="X473" s="542"/>
      <c r="Y473" s="542"/>
      <c r="Z473" s="542"/>
    </row>
    <row r="474" spans="1:26" s="71" customFormat="1" ht="14.25" customHeight="1">
      <c r="A474" s="419" t="s">
        <v>38</v>
      </c>
      <c r="B474" s="419" t="s">
        <v>39</v>
      </c>
      <c r="C474" s="419" t="s">
        <v>296</v>
      </c>
      <c r="D474" s="472" t="s">
        <v>2897</v>
      </c>
      <c r="E474" s="71" t="s">
        <v>1438</v>
      </c>
      <c r="F474" s="71" t="s">
        <v>1676</v>
      </c>
      <c r="G474" s="71" t="s">
        <v>1676</v>
      </c>
      <c r="H474" s="71" t="s">
        <v>42</v>
      </c>
      <c r="I474" s="71" t="s">
        <v>43</v>
      </c>
      <c r="J474" s="71" t="s">
        <v>44</v>
      </c>
      <c r="K474" s="71" t="s">
        <v>44</v>
      </c>
      <c r="L474" s="71" t="s">
        <v>44</v>
      </c>
      <c r="M474" s="71" t="s">
        <v>45</v>
      </c>
      <c r="N474" s="71">
        <v>23.833477999999999</v>
      </c>
      <c r="O474" s="71">
        <v>97.578367</v>
      </c>
      <c r="P474" s="71" t="s">
        <v>761</v>
      </c>
      <c r="Q474" s="71" t="s">
        <v>780</v>
      </c>
      <c r="R474" s="422">
        <v>138</v>
      </c>
      <c r="S474" s="422">
        <v>732</v>
      </c>
      <c r="T474" s="105"/>
      <c r="U474" s="101"/>
      <c r="V474" s="71" t="s">
        <v>979</v>
      </c>
      <c r="W474" s="419"/>
      <c r="X474" s="542"/>
      <c r="Y474" s="542"/>
      <c r="Z474" s="542"/>
    </row>
    <row r="475" spans="1:26" s="71" customFormat="1" ht="14.25" customHeight="1">
      <c r="A475" s="419" t="s">
        <v>38</v>
      </c>
      <c r="B475" s="419" t="s">
        <v>39</v>
      </c>
      <c r="C475" s="419" t="s">
        <v>1115</v>
      </c>
      <c r="D475" s="472" t="s">
        <v>1654</v>
      </c>
      <c r="J475" s="71" t="s">
        <v>1449</v>
      </c>
      <c r="K475" s="71" t="s">
        <v>44</v>
      </c>
      <c r="L475" s="71" t="s">
        <v>1099</v>
      </c>
      <c r="M475" s="71" t="s">
        <v>45</v>
      </c>
      <c r="P475" s="71" t="s">
        <v>761</v>
      </c>
      <c r="Q475" s="71" t="s">
        <v>780</v>
      </c>
      <c r="R475" s="422"/>
      <c r="S475" s="423"/>
      <c r="T475" s="105"/>
      <c r="U475" s="101" t="s">
        <v>1095</v>
      </c>
      <c r="V475" s="71" t="s">
        <v>1115</v>
      </c>
      <c r="W475" s="419"/>
      <c r="X475" s="542"/>
      <c r="Y475" s="542"/>
      <c r="Z475" s="542"/>
    </row>
    <row r="476" spans="1:26" s="71" customFormat="1" ht="14.25" customHeight="1">
      <c r="A476" s="419" t="s">
        <v>38</v>
      </c>
      <c r="B476" s="419" t="s">
        <v>39</v>
      </c>
      <c r="C476" s="419" t="s">
        <v>977</v>
      </c>
      <c r="D476" s="472" t="s">
        <v>2897</v>
      </c>
      <c r="E476" s="71" t="s">
        <v>1433</v>
      </c>
      <c r="F476" s="71" t="s">
        <v>1676</v>
      </c>
      <c r="G476" s="71" t="s">
        <v>1676</v>
      </c>
      <c r="I476" s="71" t="s">
        <v>2142</v>
      </c>
      <c r="J476" s="71" t="s">
        <v>44</v>
      </c>
      <c r="K476" s="71" t="s">
        <v>44</v>
      </c>
      <c r="L476" s="71" t="s">
        <v>772</v>
      </c>
      <c r="M476" s="71" t="s">
        <v>45</v>
      </c>
      <c r="N476" s="71">
        <v>23.827870999999998</v>
      </c>
      <c r="O476" s="71">
        <v>97.588291999999996</v>
      </c>
      <c r="P476" s="71" t="s">
        <v>773</v>
      </c>
      <c r="Q476" s="71" t="s">
        <v>762</v>
      </c>
      <c r="R476" s="422">
        <v>175</v>
      </c>
      <c r="S476" s="422">
        <v>834</v>
      </c>
      <c r="T476" s="105"/>
      <c r="U476" s="101"/>
      <c r="V476" s="71" t="s">
        <v>977</v>
      </c>
      <c r="W476" s="419"/>
      <c r="X476" s="542"/>
      <c r="Y476" s="542"/>
      <c r="Z476" s="542"/>
    </row>
    <row r="477" spans="1:26" s="71" customFormat="1" ht="14.25" customHeight="1">
      <c r="A477" s="419" t="s">
        <v>38</v>
      </c>
      <c r="B477" s="419" t="s">
        <v>39</v>
      </c>
      <c r="C477" s="419" t="s">
        <v>187</v>
      </c>
      <c r="D477" s="472" t="s">
        <v>2897</v>
      </c>
      <c r="E477" s="71" t="s">
        <v>1459</v>
      </c>
      <c r="F477" s="71" t="s">
        <v>1771</v>
      </c>
      <c r="G477" s="71" t="s">
        <v>1772</v>
      </c>
      <c r="H477" s="71" t="s">
        <v>42</v>
      </c>
      <c r="I477" s="71" t="s">
        <v>135</v>
      </c>
      <c r="J477" s="71" t="s">
        <v>44</v>
      </c>
      <c r="K477" s="71" t="s">
        <v>44</v>
      </c>
      <c r="L477" s="71" t="s">
        <v>44</v>
      </c>
      <c r="M477" s="71" t="s">
        <v>45</v>
      </c>
      <c r="N477" s="71">
        <v>24.129059999999999</v>
      </c>
      <c r="O477" s="71">
        <v>97.291820000000001</v>
      </c>
      <c r="P477" s="71" t="s">
        <v>761</v>
      </c>
      <c r="Q477" s="71" t="s">
        <v>780</v>
      </c>
      <c r="R477" s="422">
        <v>190</v>
      </c>
      <c r="S477" s="422">
        <v>853</v>
      </c>
      <c r="T477" s="105"/>
      <c r="U477" s="101"/>
      <c r="V477" s="71" t="s">
        <v>187</v>
      </c>
      <c r="X477" s="542"/>
      <c r="Y477" s="542"/>
      <c r="Z477" s="542"/>
    </row>
    <row r="478" spans="1:26" s="71" customFormat="1" ht="14.25" customHeight="1">
      <c r="A478" s="419" t="s">
        <v>38</v>
      </c>
      <c r="B478" s="419" t="s">
        <v>39</v>
      </c>
      <c r="C478" s="419" t="s">
        <v>995</v>
      </c>
      <c r="D478" s="472" t="s">
        <v>2897</v>
      </c>
      <c r="E478" s="71" t="s">
        <v>1458</v>
      </c>
      <c r="I478" s="71" t="s">
        <v>2142</v>
      </c>
      <c r="J478" s="71" t="s">
        <v>44</v>
      </c>
      <c r="K478" s="71" t="s">
        <v>44</v>
      </c>
      <c r="L478" s="71" t="s">
        <v>772</v>
      </c>
      <c r="M478" s="71" t="s">
        <v>45</v>
      </c>
      <c r="N478" s="71">
        <v>24.118618999999999</v>
      </c>
      <c r="O478" s="71">
        <v>97.298055000000005</v>
      </c>
      <c r="P478" s="71" t="s">
        <v>773</v>
      </c>
      <c r="Q478" s="71" t="s">
        <v>762</v>
      </c>
      <c r="R478" s="422">
        <v>67</v>
      </c>
      <c r="S478" s="422">
        <v>324</v>
      </c>
      <c r="T478" s="105"/>
      <c r="U478" s="101" t="s">
        <v>996</v>
      </c>
      <c r="V478" s="71" t="s">
        <v>997</v>
      </c>
      <c r="W478" s="419"/>
      <c r="X478" s="542"/>
      <c r="Y478" s="542"/>
      <c r="Z478" s="542"/>
    </row>
    <row r="479" spans="1:26" s="71" customFormat="1" ht="14.25" customHeight="1">
      <c r="A479" s="419" t="s">
        <v>38</v>
      </c>
      <c r="B479" s="419" t="s">
        <v>39</v>
      </c>
      <c r="C479" s="419" t="s">
        <v>1001</v>
      </c>
      <c r="D479" s="472" t="s">
        <v>1655</v>
      </c>
      <c r="E479" s="71" t="s">
        <v>1468</v>
      </c>
      <c r="F479" s="71" t="s">
        <v>1698</v>
      </c>
      <c r="G479" s="71">
        <v>0</v>
      </c>
      <c r="I479" s="71">
        <v>0</v>
      </c>
      <c r="J479" s="71" t="s">
        <v>44</v>
      </c>
      <c r="K479" s="71" t="s">
        <v>44</v>
      </c>
      <c r="L479" s="71" t="s">
        <v>760</v>
      </c>
      <c r="M479" s="71" t="s">
        <v>778</v>
      </c>
      <c r="N479" s="71">
        <v>24.20645</v>
      </c>
      <c r="O479" s="71">
        <v>96.808850000000007</v>
      </c>
      <c r="P479" s="71" t="s">
        <v>761</v>
      </c>
      <c r="R479" s="422"/>
      <c r="S479" s="423"/>
      <c r="T479" s="105"/>
      <c r="U479" s="101"/>
      <c r="V479" s="71" t="s">
        <v>1001</v>
      </c>
      <c r="W479" s="71" t="s">
        <v>2144</v>
      </c>
      <c r="X479" s="542"/>
      <c r="Y479" s="542"/>
      <c r="Z479" s="542"/>
    </row>
    <row r="480" spans="1:26" s="71" customFormat="1" ht="14.25" customHeight="1">
      <c r="A480" s="419" t="s">
        <v>38</v>
      </c>
      <c r="B480" s="419" t="s">
        <v>39</v>
      </c>
      <c r="C480" s="71" t="s">
        <v>777</v>
      </c>
      <c r="D480" s="472" t="s">
        <v>1655</v>
      </c>
      <c r="E480" s="71" t="s">
        <v>1322</v>
      </c>
      <c r="F480" s="71" t="s">
        <v>1676</v>
      </c>
      <c r="G480" s="71">
        <v>0</v>
      </c>
      <c r="I480" s="71">
        <v>0</v>
      </c>
      <c r="J480" s="71" t="s">
        <v>44</v>
      </c>
      <c r="K480" s="71" t="s">
        <v>44</v>
      </c>
      <c r="L480" s="71" t="s">
        <v>760</v>
      </c>
      <c r="M480" s="71" t="s">
        <v>778</v>
      </c>
      <c r="P480" s="71" t="s">
        <v>761</v>
      </c>
      <c r="R480" s="422"/>
      <c r="S480" s="423"/>
      <c r="T480" s="105"/>
      <c r="U480" s="101"/>
      <c r="V480" s="71" t="s">
        <v>777</v>
      </c>
      <c r="W480" s="71" t="s">
        <v>2167</v>
      </c>
      <c r="X480" s="542"/>
      <c r="Y480" s="542"/>
      <c r="Z480" s="542"/>
    </row>
    <row r="481" spans="1:26" s="71" customFormat="1" ht="14.25" customHeight="1">
      <c r="A481" s="419" t="s">
        <v>38</v>
      </c>
      <c r="B481" s="419" t="s">
        <v>39</v>
      </c>
      <c r="C481" s="71" t="s">
        <v>975</v>
      </c>
      <c r="D481" s="472" t="s">
        <v>1655</v>
      </c>
      <c r="E481" s="71" t="s">
        <v>1430</v>
      </c>
      <c r="F481" s="71" t="s">
        <v>1678</v>
      </c>
      <c r="G481" s="71">
        <v>0</v>
      </c>
      <c r="I481" s="71">
        <v>0</v>
      </c>
      <c r="J481" s="71" t="s">
        <v>44</v>
      </c>
      <c r="K481" s="71" t="s">
        <v>44</v>
      </c>
      <c r="L481" s="71" t="s">
        <v>760</v>
      </c>
      <c r="M481" s="71" t="s">
        <v>778</v>
      </c>
      <c r="N481" s="71">
        <v>23.75817</v>
      </c>
      <c r="O481" s="71">
        <v>97.132339999999999</v>
      </c>
      <c r="P481" s="71" t="s">
        <v>761</v>
      </c>
      <c r="R481" s="99"/>
      <c r="S481" s="423"/>
      <c r="T481" s="105"/>
      <c r="U481" s="101"/>
      <c r="V481" s="71" t="s">
        <v>975</v>
      </c>
      <c r="W481" s="419" t="s">
        <v>2144</v>
      </c>
      <c r="X481" s="542"/>
      <c r="Y481" s="542"/>
      <c r="Z481" s="542"/>
    </row>
    <row r="482" spans="1:26" s="71" customFormat="1" ht="14.25" customHeight="1">
      <c r="A482" s="419" t="s">
        <v>38</v>
      </c>
      <c r="B482" s="419" t="s">
        <v>39</v>
      </c>
      <c r="C482" s="419" t="s">
        <v>781</v>
      </c>
      <c r="D482" s="472" t="s">
        <v>1655</v>
      </c>
      <c r="E482" s="71" t="s">
        <v>1325</v>
      </c>
      <c r="F482" s="71" t="s">
        <v>1678</v>
      </c>
      <c r="G482" s="71">
        <v>0</v>
      </c>
      <c r="I482" s="71">
        <v>0</v>
      </c>
      <c r="J482" s="71" t="s">
        <v>44</v>
      </c>
      <c r="K482" s="71" t="s">
        <v>44</v>
      </c>
      <c r="L482" s="71" t="s">
        <v>760</v>
      </c>
      <c r="M482" s="71" t="s">
        <v>778</v>
      </c>
      <c r="P482" s="71" t="s">
        <v>761</v>
      </c>
      <c r="R482" s="422"/>
      <c r="S482" s="423"/>
      <c r="T482" s="105"/>
      <c r="U482" s="101"/>
      <c r="V482" s="71" t="s">
        <v>781</v>
      </c>
      <c r="W482" s="419" t="s">
        <v>2144</v>
      </c>
      <c r="X482" s="542"/>
      <c r="Y482" s="542"/>
      <c r="Z482" s="542"/>
    </row>
    <row r="483" spans="1:26" s="71" customFormat="1" ht="14.25" customHeight="1">
      <c r="A483" s="419" t="s">
        <v>38</v>
      </c>
      <c r="B483" s="419" t="s">
        <v>39</v>
      </c>
      <c r="C483" s="71" t="s">
        <v>976</v>
      </c>
      <c r="D483" s="472" t="s">
        <v>1655</v>
      </c>
      <c r="E483" s="71" t="s">
        <v>1431</v>
      </c>
      <c r="F483" s="71" t="s">
        <v>1678</v>
      </c>
      <c r="G483" s="71">
        <v>0</v>
      </c>
      <c r="I483" s="71">
        <v>0</v>
      </c>
      <c r="J483" s="71" t="s">
        <v>44</v>
      </c>
      <c r="K483" s="71" t="s">
        <v>44</v>
      </c>
      <c r="L483" s="71" t="s">
        <v>760</v>
      </c>
      <c r="M483" s="71" t="s">
        <v>778</v>
      </c>
      <c r="N483" s="71">
        <v>23.75817</v>
      </c>
      <c r="O483" s="71">
        <v>97.132339999999999</v>
      </c>
      <c r="P483" s="71" t="s">
        <v>761</v>
      </c>
      <c r="R483" s="99"/>
      <c r="S483" s="423"/>
      <c r="T483" s="105"/>
      <c r="U483" s="101"/>
      <c r="V483" s="71" t="s">
        <v>976</v>
      </c>
      <c r="W483" s="71" t="s">
        <v>2168</v>
      </c>
      <c r="X483" s="542"/>
      <c r="Y483" s="542"/>
      <c r="Z483" s="542"/>
    </row>
    <row r="484" spans="1:26" s="71" customFormat="1" ht="14.25" customHeight="1">
      <c r="A484" s="419" t="s">
        <v>38</v>
      </c>
      <c r="B484" s="420" t="s">
        <v>39</v>
      </c>
      <c r="C484" s="420" t="s">
        <v>789</v>
      </c>
      <c r="D484" s="472" t="s">
        <v>1655</v>
      </c>
      <c r="E484" s="419" t="s">
        <v>1330</v>
      </c>
      <c r="F484" s="419">
        <v>0</v>
      </c>
      <c r="G484" s="419">
        <v>0</v>
      </c>
      <c r="H484" s="419"/>
      <c r="I484" s="419">
        <v>0</v>
      </c>
      <c r="J484" s="419" t="s">
        <v>44</v>
      </c>
      <c r="K484" s="419" t="s">
        <v>44</v>
      </c>
      <c r="L484" s="419" t="s">
        <v>760</v>
      </c>
      <c r="M484" s="419" t="s">
        <v>45</v>
      </c>
      <c r="N484" s="419"/>
      <c r="O484" s="419"/>
      <c r="P484" s="71" t="s">
        <v>761</v>
      </c>
      <c r="Q484" s="419"/>
      <c r="R484" s="422"/>
      <c r="S484" s="423"/>
      <c r="T484" s="442"/>
      <c r="U484" s="424"/>
      <c r="V484" s="419"/>
      <c r="W484" s="71" t="s">
        <v>2169</v>
      </c>
      <c r="X484" s="542"/>
      <c r="Y484" s="542"/>
      <c r="Z484" s="542"/>
    </row>
    <row r="485" spans="1:26" s="71" customFormat="1" ht="14.25" customHeight="1">
      <c r="A485" s="419" t="s">
        <v>38</v>
      </c>
      <c r="B485" s="420" t="s">
        <v>39</v>
      </c>
      <c r="C485" s="420" t="s">
        <v>133</v>
      </c>
      <c r="D485" s="472" t="s">
        <v>1654</v>
      </c>
      <c r="J485" s="71" t="s">
        <v>1449</v>
      </c>
      <c r="K485" s="71" t="s">
        <v>44</v>
      </c>
      <c r="L485" s="71" t="s">
        <v>44</v>
      </c>
      <c r="M485" s="71" t="s">
        <v>45</v>
      </c>
      <c r="P485" s="71" t="s">
        <v>761</v>
      </c>
      <c r="Q485" s="71" t="s">
        <v>780</v>
      </c>
      <c r="R485" s="422"/>
      <c r="S485" s="100"/>
      <c r="T485" s="105">
        <v>42747</v>
      </c>
      <c r="U485" s="101" t="s">
        <v>1095</v>
      </c>
      <c r="X485" s="542"/>
      <c r="Y485" s="542"/>
      <c r="Z485" s="542"/>
    </row>
    <row r="486" spans="1:26" s="71" customFormat="1" ht="14.25" customHeight="1">
      <c r="A486" s="427" t="s">
        <v>38</v>
      </c>
      <c r="B486" s="426" t="s">
        <v>146</v>
      </c>
      <c r="C486" s="420" t="s">
        <v>1966</v>
      </c>
      <c r="D486" s="472" t="s">
        <v>2897</v>
      </c>
      <c r="E486" s="71" t="s">
        <v>1972</v>
      </c>
      <c r="I486" s="71" t="s">
        <v>2142</v>
      </c>
      <c r="J486" s="71" t="s">
        <v>44</v>
      </c>
      <c r="K486" s="71" t="s">
        <v>44</v>
      </c>
      <c r="L486" s="71" t="s">
        <v>776</v>
      </c>
      <c r="M486" s="71" t="s">
        <v>45</v>
      </c>
      <c r="N486" s="419"/>
      <c r="O486" s="419"/>
      <c r="P486" s="420" t="s">
        <v>761</v>
      </c>
      <c r="Q486" s="71" t="s">
        <v>1950</v>
      </c>
      <c r="R486" s="99">
        <v>6</v>
      </c>
      <c r="S486" s="422">
        <v>32</v>
      </c>
      <c r="T486" s="105">
        <v>43276</v>
      </c>
      <c r="U486" s="101" t="s">
        <v>1999</v>
      </c>
      <c r="W486" s="413" t="s">
        <v>2276</v>
      </c>
      <c r="X486" s="542"/>
      <c r="Y486" s="542"/>
      <c r="Z486" s="542"/>
    </row>
    <row r="487" spans="1:26" s="71" customFormat="1" ht="14.25" customHeight="1">
      <c r="A487" s="419" t="s">
        <v>38</v>
      </c>
      <c r="B487" s="419" t="s">
        <v>146</v>
      </c>
      <c r="C487" s="419" t="s">
        <v>147</v>
      </c>
      <c r="D487" s="472" t="s">
        <v>2897</v>
      </c>
      <c r="E487" s="419" t="s">
        <v>1523</v>
      </c>
      <c r="F487" s="419" t="s">
        <v>1731</v>
      </c>
      <c r="G487" s="419" t="s">
        <v>1806</v>
      </c>
      <c r="H487" s="419" t="s">
        <v>42</v>
      </c>
      <c r="I487" s="419" t="s">
        <v>135</v>
      </c>
      <c r="J487" s="419" t="s">
        <v>44</v>
      </c>
      <c r="K487" s="419" t="s">
        <v>44</v>
      </c>
      <c r="L487" s="419" t="s">
        <v>44</v>
      </c>
      <c r="M487" s="419" t="s">
        <v>45</v>
      </c>
      <c r="N487" s="419">
        <v>25.305669999999999</v>
      </c>
      <c r="O487" s="419">
        <v>96.922619999999995</v>
      </c>
      <c r="P487" s="71" t="s">
        <v>761</v>
      </c>
      <c r="Q487" s="419" t="s">
        <v>780</v>
      </c>
      <c r="R487" s="422">
        <v>13</v>
      </c>
      <c r="S487" s="422">
        <v>72</v>
      </c>
      <c r="T487" s="442"/>
      <c r="U487" s="424"/>
      <c r="V487" s="419" t="s">
        <v>147</v>
      </c>
      <c r="W487" s="419"/>
      <c r="X487" s="542"/>
      <c r="Y487" s="542"/>
      <c r="Z487" s="542"/>
    </row>
    <row r="488" spans="1:26" s="71" customFormat="1" ht="14.25" customHeight="1">
      <c r="A488" s="427" t="s">
        <v>38</v>
      </c>
      <c r="B488" s="426" t="s">
        <v>146</v>
      </c>
      <c r="C488" s="427" t="s">
        <v>1996</v>
      </c>
      <c r="D488" s="421"/>
      <c r="E488" s="419"/>
      <c r="F488" s="419"/>
      <c r="G488" s="419"/>
      <c r="H488" s="419"/>
      <c r="I488" s="419"/>
      <c r="J488" s="419" t="s">
        <v>1449</v>
      </c>
      <c r="K488" s="420" t="s">
        <v>44</v>
      </c>
      <c r="L488" s="420" t="s">
        <v>776</v>
      </c>
      <c r="M488" s="419"/>
      <c r="N488" s="419"/>
      <c r="O488" s="419"/>
      <c r="P488" s="71" t="s">
        <v>1995</v>
      </c>
      <c r="Q488" s="419" t="s">
        <v>1950</v>
      </c>
      <c r="R488" s="430"/>
      <c r="S488" s="423"/>
      <c r="T488" s="442">
        <v>43285</v>
      </c>
      <c r="U488" s="424" t="s">
        <v>2001</v>
      </c>
      <c r="V488" s="419"/>
      <c r="W488" s="419"/>
      <c r="X488" s="542"/>
      <c r="Y488" s="542"/>
      <c r="Z488" s="542"/>
    </row>
    <row r="489" spans="1:26" s="71" customFormat="1" ht="14.25" customHeight="1">
      <c r="A489" s="427" t="s">
        <v>38</v>
      </c>
      <c r="B489" s="426" t="s">
        <v>146</v>
      </c>
      <c r="C489" s="420" t="s">
        <v>1965</v>
      </c>
      <c r="D489" s="472" t="s">
        <v>2897</v>
      </c>
      <c r="E489" s="71" t="s">
        <v>1970</v>
      </c>
      <c r="I489" s="71" t="s">
        <v>1314</v>
      </c>
      <c r="J489" s="71" t="s">
        <v>44</v>
      </c>
      <c r="K489" s="71" t="s">
        <v>44</v>
      </c>
      <c r="L489" s="420" t="s">
        <v>44</v>
      </c>
      <c r="M489" s="71" t="s">
        <v>45</v>
      </c>
      <c r="N489" s="71">
        <v>97.013800000000003</v>
      </c>
      <c r="O489" s="71">
        <v>25.383465999999999</v>
      </c>
      <c r="P489" s="420" t="s">
        <v>761</v>
      </c>
      <c r="Q489" s="71" t="s">
        <v>1950</v>
      </c>
      <c r="R489" s="422">
        <v>76</v>
      </c>
      <c r="S489" s="422">
        <v>381</v>
      </c>
      <c r="T489" s="105">
        <v>43276</v>
      </c>
      <c r="U489" s="101" t="s">
        <v>2235</v>
      </c>
      <c r="W489" s="413" t="s">
        <v>2277</v>
      </c>
      <c r="X489" s="542"/>
      <c r="Y489" s="542"/>
      <c r="Z489" s="542"/>
    </row>
    <row r="490" spans="1:26" s="71" customFormat="1" ht="14.25" customHeight="1">
      <c r="A490" s="427" t="s">
        <v>38</v>
      </c>
      <c r="B490" s="426" t="s">
        <v>146</v>
      </c>
      <c r="C490" s="420" t="s">
        <v>1953</v>
      </c>
      <c r="D490" s="421"/>
      <c r="J490" s="71" t="s">
        <v>1449</v>
      </c>
      <c r="K490" s="71" t="s">
        <v>44</v>
      </c>
      <c r="L490" s="71" t="s">
        <v>44</v>
      </c>
      <c r="M490" s="71" t="s">
        <v>45</v>
      </c>
      <c r="P490" s="71" t="s">
        <v>761</v>
      </c>
      <c r="Q490" s="71" t="s">
        <v>1950</v>
      </c>
      <c r="R490" s="430"/>
      <c r="S490" s="100"/>
      <c r="T490" s="105">
        <v>43270</v>
      </c>
      <c r="U490" s="101"/>
      <c r="W490" s="419"/>
      <c r="X490" s="542"/>
      <c r="Y490" s="542"/>
      <c r="Z490" s="542"/>
    </row>
    <row r="491" spans="1:26" s="71" customFormat="1" ht="14.25" customHeight="1">
      <c r="A491" s="427" t="s">
        <v>38</v>
      </c>
      <c r="B491" s="426" t="s">
        <v>146</v>
      </c>
      <c r="C491" s="420" t="s">
        <v>1952</v>
      </c>
      <c r="D491" s="421"/>
      <c r="J491" s="71" t="s">
        <v>1449</v>
      </c>
      <c r="K491" s="419" t="s">
        <v>44</v>
      </c>
      <c r="L491" s="419" t="s">
        <v>44</v>
      </c>
      <c r="M491" s="71" t="s">
        <v>45</v>
      </c>
      <c r="P491" s="71" t="s">
        <v>761</v>
      </c>
      <c r="Q491" s="71" t="s">
        <v>1950</v>
      </c>
      <c r="R491" s="430"/>
      <c r="S491" s="423"/>
      <c r="T491" s="105">
        <v>43270</v>
      </c>
      <c r="U491" s="101"/>
      <c r="W491" s="419"/>
      <c r="X491" s="542"/>
      <c r="Y491" s="542"/>
      <c r="Z491" s="542"/>
    </row>
    <row r="492" spans="1:26" s="71" customFormat="1" ht="14.25" customHeight="1">
      <c r="A492" s="419" t="s">
        <v>38</v>
      </c>
      <c r="B492" s="419" t="s">
        <v>146</v>
      </c>
      <c r="C492" s="419" t="s">
        <v>2136</v>
      </c>
      <c r="D492" s="472" t="s">
        <v>2897</v>
      </c>
      <c r="E492" s="71" t="s">
        <v>1519</v>
      </c>
      <c r="H492" s="71" t="s">
        <v>42</v>
      </c>
      <c r="I492" s="71" t="s">
        <v>135</v>
      </c>
      <c r="J492" s="71" t="s">
        <v>44</v>
      </c>
      <c r="K492" s="71" t="s">
        <v>44</v>
      </c>
      <c r="L492" s="71" t="s">
        <v>44</v>
      </c>
      <c r="M492" s="71" t="s">
        <v>45</v>
      </c>
      <c r="N492" s="71">
        <v>25.296579999999999</v>
      </c>
      <c r="O492" s="71">
        <v>96.942279999999997</v>
      </c>
      <c r="P492" s="71" t="s">
        <v>761</v>
      </c>
      <c r="Q492" s="71" t="s">
        <v>780</v>
      </c>
      <c r="R492" s="422">
        <v>15</v>
      </c>
      <c r="S492" s="422">
        <v>74</v>
      </c>
      <c r="T492" s="105"/>
      <c r="U492" s="101"/>
      <c r="V492" s="71" t="s">
        <v>148</v>
      </c>
      <c r="W492" s="419"/>
      <c r="X492" s="542"/>
      <c r="Y492" s="542"/>
      <c r="Z492" s="542"/>
    </row>
    <row r="493" spans="1:26" s="71" customFormat="1" ht="14.25" customHeight="1">
      <c r="A493" s="419" t="s">
        <v>38</v>
      </c>
      <c r="B493" s="419" t="s">
        <v>146</v>
      </c>
      <c r="C493" s="419" t="s">
        <v>234</v>
      </c>
      <c r="D493" s="472" t="s">
        <v>1732</v>
      </c>
      <c r="E493" s="71" t="s">
        <v>1520</v>
      </c>
      <c r="F493" s="71" t="s">
        <v>1803</v>
      </c>
      <c r="G493" s="71" t="s">
        <v>1804</v>
      </c>
      <c r="I493" s="419">
        <v>0</v>
      </c>
      <c r="J493" s="71" t="s">
        <v>44</v>
      </c>
      <c r="K493" s="71" t="s">
        <v>44</v>
      </c>
      <c r="L493" s="71" t="s">
        <v>760</v>
      </c>
      <c r="M493" s="71" t="s">
        <v>45</v>
      </c>
      <c r="N493" s="71">
        <v>25.299679999999999</v>
      </c>
      <c r="O493" s="71">
        <v>96.942279999999997</v>
      </c>
      <c r="P493" s="71" t="s">
        <v>761</v>
      </c>
      <c r="Q493" s="71" t="s">
        <v>780</v>
      </c>
      <c r="R493" s="99"/>
      <c r="S493" s="423"/>
      <c r="T493" s="105">
        <v>42836</v>
      </c>
      <c r="U493" s="101" t="s">
        <v>2729</v>
      </c>
      <c r="V493" s="71" t="s">
        <v>234</v>
      </c>
      <c r="W493" s="413" t="s">
        <v>2170</v>
      </c>
      <c r="X493" s="542"/>
      <c r="Y493" s="542"/>
      <c r="Z493" s="542"/>
    </row>
    <row r="494" spans="1:26" s="71" customFormat="1" ht="14.25" customHeight="1">
      <c r="A494" s="427" t="s">
        <v>38</v>
      </c>
      <c r="B494" s="426" t="s">
        <v>146</v>
      </c>
      <c r="C494" s="420" t="s">
        <v>1964</v>
      </c>
      <c r="D494" s="472" t="s">
        <v>2897</v>
      </c>
      <c r="E494" s="71" t="s">
        <v>1969</v>
      </c>
      <c r="I494" s="71" t="s">
        <v>1314</v>
      </c>
      <c r="J494" s="71" t="s">
        <v>44</v>
      </c>
      <c r="K494" s="419" t="s">
        <v>44</v>
      </c>
      <c r="L494" s="420" t="s">
        <v>44</v>
      </c>
      <c r="M494" s="71" t="s">
        <v>45</v>
      </c>
      <c r="N494" s="71">
        <v>97.010629910000006</v>
      </c>
      <c r="O494" s="71">
        <v>25.37033053</v>
      </c>
      <c r="P494" s="420" t="s">
        <v>761</v>
      </c>
      <c r="Q494" s="71" t="s">
        <v>1950</v>
      </c>
      <c r="R494" s="422">
        <v>45</v>
      </c>
      <c r="S494" s="422">
        <v>235</v>
      </c>
      <c r="T494" s="105">
        <v>43276</v>
      </c>
      <c r="U494" s="428" t="s">
        <v>2000</v>
      </c>
      <c r="W494" s="413" t="s">
        <v>2277</v>
      </c>
      <c r="X494" s="542"/>
      <c r="Y494" s="542"/>
      <c r="Z494" s="542"/>
    </row>
    <row r="495" spans="1:26" s="71" customFormat="1" ht="14.25" customHeight="1">
      <c r="A495" s="423" t="s">
        <v>38</v>
      </c>
      <c r="B495" s="426" t="s">
        <v>146</v>
      </c>
      <c r="C495" s="427" t="s">
        <v>2034</v>
      </c>
      <c r="D495" s="421"/>
      <c r="J495" s="71" t="s">
        <v>1449</v>
      </c>
      <c r="K495" s="419" t="s">
        <v>44</v>
      </c>
      <c r="L495" s="419" t="s">
        <v>776</v>
      </c>
      <c r="M495" s="71" t="s">
        <v>45</v>
      </c>
      <c r="P495" s="420" t="s">
        <v>1993</v>
      </c>
      <c r="R495" s="430"/>
      <c r="S495" s="423"/>
      <c r="T495" s="105">
        <v>43298</v>
      </c>
      <c r="U495" s="101"/>
      <c r="W495" s="419"/>
      <c r="X495" s="542"/>
      <c r="Y495" s="542"/>
      <c r="Z495" s="542"/>
    </row>
    <row r="496" spans="1:26" s="71" customFormat="1" ht="14.25" customHeight="1">
      <c r="A496" s="419" t="s">
        <v>38</v>
      </c>
      <c r="B496" s="419" t="s">
        <v>146</v>
      </c>
      <c r="C496" s="419" t="s">
        <v>1122</v>
      </c>
      <c r="D496" s="472" t="s">
        <v>1655</v>
      </c>
      <c r="E496" s="419" t="s">
        <v>1979</v>
      </c>
      <c r="F496" s="419" t="s">
        <v>1731</v>
      </c>
      <c r="G496" s="419" t="s">
        <v>1122</v>
      </c>
      <c r="H496" s="419"/>
      <c r="I496" s="419">
        <v>0</v>
      </c>
      <c r="J496" s="419" t="s">
        <v>44</v>
      </c>
      <c r="K496" s="419" t="s">
        <v>44</v>
      </c>
      <c r="L496" s="419" t="s">
        <v>760</v>
      </c>
      <c r="M496" s="419" t="s">
        <v>45</v>
      </c>
      <c r="N496" s="419"/>
      <c r="O496" s="419"/>
      <c r="P496" s="419" t="s">
        <v>761</v>
      </c>
      <c r="Q496" s="419" t="s">
        <v>926</v>
      </c>
      <c r="R496" s="422"/>
      <c r="S496" s="423"/>
      <c r="T496" s="442"/>
      <c r="U496" s="424" t="s">
        <v>1123</v>
      </c>
      <c r="V496" s="419"/>
      <c r="W496" s="71" t="s">
        <v>2171</v>
      </c>
      <c r="X496" s="542"/>
      <c r="Y496" s="542"/>
      <c r="Z496" s="542"/>
    </row>
    <row r="497" spans="1:26" s="71" customFormat="1" ht="14.25" customHeight="1">
      <c r="A497" s="427" t="s">
        <v>38</v>
      </c>
      <c r="B497" s="426" t="s">
        <v>146</v>
      </c>
      <c r="C497" s="420" t="s">
        <v>2135</v>
      </c>
      <c r="D497" s="472" t="s">
        <v>2897</v>
      </c>
      <c r="E497" s="71" t="s">
        <v>1971</v>
      </c>
      <c r="I497" s="419" t="s">
        <v>135</v>
      </c>
      <c r="J497" s="71" t="s">
        <v>44</v>
      </c>
      <c r="K497" s="71" t="s">
        <v>44</v>
      </c>
      <c r="L497" s="71" t="s">
        <v>44</v>
      </c>
      <c r="M497" s="71" t="s">
        <v>45</v>
      </c>
      <c r="N497" s="71">
        <v>97.104997409999996</v>
      </c>
      <c r="O497" s="71">
        <v>25.379014999999999</v>
      </c>
      <c r="P497" s="420" t="s">
        <v>761</v>
      </c>
      <c r="Q497" s="71" t="s">
        <v>1950</v>
      </c>
      <c r="R497" s="422">
        <v>112</v>
      </c>
      <c r="S497" s="422">
        <v>487</v>
      </c>
      <c r="T497" s="105">
        <v>43276</v>
      </c>
      <c r="U497" s="428" t="s">
        <v>2000</v>
      </c>
      <c r="W497" s="413" t="s">
        <v>2278</v>
      </c>
      <c r="X497" s="542"/>
      <c r="Y497" s="542"/>
      <c r="Z497" s="542"/>
    </row>
    <row r="498" spans="1:26" s="71" customFormat="1" ht="14.25" customHeight="1">
      <c r="A498" s="419" t="s">
        <v>38</v>
      </c>
      <c r="B498" s="419" t="s">
        <v>146</v>
      </c>
      <c r="C498" s="419" t="s">
        <v>149</v>
      </c>
      <c r="D498" s="472" t="s">
        <v>2897</v>
      </c>
      <c r="E498" s="71" t="s">
        <v>1521</v>
      </c>
      <c r="F498" s="71" t="s">
        <v>1731</v>
      </c>
      <c r="G498" s="71" t="s">
        <v>1805</v>
      </c>
      <c r="H498" s="71" t="s">
        <v>42</v>
      </c>
      <c r="I498" s="71" t="s">
        <v>135</v>
      </c>
      <c r="J498" s="71" t="s">
        <v>44</v>
      </c>
      <c r="K498" s="71" t="s">
        <v>44</v>
      </c>
      <c r="L498" s="71" t="s">
        <v>44</v>
      </c>
      <c r="M498" s="71" t="s">
        <v>45</v>
      </c>
      <c r="N498" s="71">
        <v>25.30442</v>
      </c>
      <c r="O498" s="71">
        <v>96.948740000000001</v>
      </c>
      <c r="P498" s="419" t="s">
        <v>761</v>
      </c>
      <c r="Q498" s="71" t="s">
        <v>780</v>
      </c>
      <c r="R498" s="422">
        <v>10</v>
      </c>
      <c r="S498" s="422">
        <v>43</v>
      </c>
      <c r="T498" s="105"/>
      <c r="U498" s="101"/>
      <c r="V498" s="71" t="s">
        <v>149</v>
      </c>
      <c r="W498" s="419"/>
      <c r="X498" s="542"/>
      <c r="Y498" s="542"/>
      <c r="Z498" s="542"/>
    </row>
    <row r="499" spans="1:26" s="71" customFormat="1" ht="14.25" customHeight="1">
      <c r="A499" s="419" t="s">
        <v>38</v>
      </c>
      <c r="B499" s="420" t="s">
        <v>146</v>
      </c>
      <c r="C499" s="420" t="s">
        <v>1040</v>
      </c>
      <c r="D499" s="472" t="s">
        <v>1655</v>
      </c>
      <c r="E499" s="71" t="s">
        <v>1516</v>
      </c>
      <c r="F499" s="71" t="s">
        <v>1713</v>
      </c>
      <c r="G499" s="71" t="s">
        <v>1713</v>
      </c>
      <c r="I499" s="71">
        <v>0</v>
      </c>
      <c r="J499" s="71" t="s">
        <v>44</v>
      </c>
      <c r="K499" s="71" t="s">
        <v>44</v>
      </c>
      <c r="L499" s="71" t="s">
        <v>760</v>
      </c>
      <c r="M499" s="71" t="s">
        <v>45</v>
      </c>
      <c r="N499" s="71">
        <v>25.225000000000001</v>
      </c>
      <c r="O499" s="71">
        <v>96.793999999999997</v>
      </c>
      <c r="P499" s="71" t="s">
        <v>773</v>
      </c>
      <c r="Q499" s="71" t="s">
        <v>780</v>
      </c>
      <c r="R499" s="422"/>
      <c r="S499" s="423"/>
      <c r="T499" s="105">
        <v>42983</v>
      </c>
      <c r="U499" s="101" t="s">
        <v>1041</v>
      </c>
      <c r="V499" s="419" t="s">
        <v>1042</v>
      </c>
      <c r="W499" s="413" t="s">
        <v>2172</v>
      </c>
      <c r="X499" s="542"/>
      <c r="Y499" s="542"/>
      <c r="Z499" s="542"/>
    </row>
    <row r="500" spans="1:26" s="71" customFormat="1" ht="14.25" customHeight="1">
      <c r="A500" s="419" t="s">
        <v>38</v>
      </c>
      <c r="B500" s="420" t="s">
        <v>146</v>
      </c>
      <c r="C500" s="420" t="s">
        <v>150</v>
      </c>
      <c r="D500" s="472" t="s">
        <v>2897</v>
      </c>
      <c r="E500" s="71" t="s">
        <v>1517</v>
      </c>
      <c r="F500" s="71" t="s">
        <v>1713</v>
      </c>
      <c r="G500" s="71" t="s">
        <v>1713</v>
      </c>
      <c r="H500" s="71" t="s">
        <v>42</v>
      </c>
      <c r="I500" s="71" t="s">
        <v>135</v>
      </c>
      <c r="J500" s="71" t="s">
        <v>44</v>
      </c>
      <c r="K500" s="71" t="s">
        <v>44</v>
      </c>
      <c r="L500" s="419" t="s">
        <v>44</v>
      </c>
      <c r="M500" s="71" t="s">
        <v>45</v>
      </c>
      <c r="N500" s="71">
        <v>25.225000000000001</v>
      </c>
      <c r="O500" s="71">
        <v>96.793999999999997</v>
      </c>
      <c r="P500" s="71" t="s">
        <v>761</v>
      </c>
      <c r="Q500" s="71" t="s">
        <v>780</v>
      </c>
      <c r="R500" s="422">
        <v>27</v>
      </c>
      <c r="S500" s="422">
        <v>135</v>
      </c>
      <c r="T500" s="105"/>
      <c r="U500" s="101"/>
      <c r="V500" s="419" t="s">
        <v>150</v>
      </c>
      <c r="W500" s="419"/>
      <c r="X500" s="542"/>
      <c r="Y500" s="542"/>
      <c r="Z500" s="542"/>
    </row>
    <row r="501" spans="1:26" s="71" customFormat="1" ht="14.25" customHeight="1">
      <c r="A501" s="419" t="s">
        <v>38</v>
      </c>
      <c r="B501" s="419" t="s">
        <v>151</v>
      </c>
      <c r="C501" s="419" t="s">
        <v>1034</v>
      </c>
      <c r="D501" s="472" t="s">
        <v>2897</v>
      </c>
      <c r="E501" s="71" t="s">
        <v>1509</v>
      </c>
      <c r="F501" s="71" t="s">
        <v>1864</v>
      </c>
      <c r="G501" s="71" t="s">
        <v>1865</v>
      </c>
      <c r="I501" s="71" t="s">
        <v>2142</v>
      </c>
      <c r="J501" s="71" t="s">
        <v>44</v>
      </c>
      <c r="K501" s="71" t="s">
        <v>44</v>
      </c>
      <c r="L501" s="419" t="s">
        <v>772</v>
      </c>
      <c r="M501" s="71" t="s">
        <v>45</v>
      </c>
      <c r="N501" s="71">
        <v>24.996279999999999</v>
      </c>
      <c r="O501" s="71">
        <v>96.52534</v>
      </c>
      <c r="P501" s="419" t="s">
        <v>773</v>
      </c>
      <c r="Q501" s="71" t="s">
        <v>762</v>
      </c>
      <c r="R501" s="422">
        <v>27</v>
      </c>
      <c r="S501" s="422">
        <v>126</v>
      </c>
      <c r="T501" s="105"/>
      <c r="U501" s="101" t="s">
        <v>1031</v>
      </c>
      <c r="V501" s="71" t="s">
        <v>1034</v>
      </c>
      <c r="W501" s="419"/>
      <c r="X501" s="542"/>
      <c r="Y501" s="542"/>
      <c r="Z501" s="542"/>
    </row>
    <row r="502" spans="1:26" s="71" customFormat="1" ht="14.25" customHeight="1">
      <c r="A502" s="419" t="s">
        <v>38</v>
      </c>
      <c r="B502" s="419" t="s">
        <v>151</v>
      </c>
      <c r="C502" s="419" t="s">
        <v>1030</v>
      </c>
      <c r="D502" s="472" t="s">
        <v>2897</v>
      </c>
      <c r="E502" s="419" t="s">
        <v>1506</v>
      </c>
      <c r="F502" s="71" t="s">
        <v>1795</v>
      </c>
      <c r="G502" s="71">
        <v>0</v>
      </c>
      <c r="I502" s="71" t="s">
        <v>2142</v>
      </c>
      <c r="J502" s="71" t="s">
        <v>44</v>
      </c>
      <c r="K502" s="71" t="s">
        <v>44</v>
      </c>
      <c r="L502" s="71" t="s">
        <v>772</v>
      </c>
      <c r="M502" s="71" t="s">
        <v>45</v>
      </c>
      <c r="N502" s="71">
        <v>24.764959999999999</v>
      </c>
      <c r="O502" s="71">
        <v>96.366919999999993</v>
      </c>
      <c r="P502" s="419" t="s">
        <v>773</v>
      </c>
      <c r="Q502" s="71" t="s">
        <v>762</v>
      </c>
      <c r="R502" s="422">
        <v>15</v>
      </c>
      <c r="S502" s="422">
        <v>71</v>
      </c>
      <c r="T502" s="105"/>
      <c r="U502" s="101" t="s">
        <v>1031</v>
      </c>
      <c r="V502" s="71" t="s">
        <v>1030</v>
      </c>
      <c r="W502" s="419"/>
      <c r="X502" s="542"/>
      <c r="Y502" s="542"/>
      <c r="Z502" s="542"/>
    </row>
    <row r="503" spans="1:26" s="71" customFormat="1" ht="14.25" customHeight="1">
      <c r="A503" s="419" t="s">
        <v>38</v>
      </c>
      <c r="B503" s="419" t="s">
        <v>151</v>
      </c>
      <c r="C503" s="419" t="s">
        <v>151</v>
      </c>
      <c r="D503" s="472" t="s">
        <v>1654</v>
      </c>
      <c r="J503" s="71" t="s">
        <v>798</v>
      </c>
      <c r="K503" s="419" t="s">
        <v>798</v>
      </c>
      <c r="L503" s="419" t="s">
        <v>798</v>
      </c>
      <c r="P503" s="71" t="s">
        <v>799</v>
      </c>
      <c r="R503" s="422"/>
      <c r="S503" s="423"/>
      <c r="T503" s="105"/>
      <c r="U503" s="101"/>
      <c r="V503" s="71" t="s">
        <v>151</v>
      </c>
      <c r="W503" s="419"/>
      <c r="X503" s="542"/>
      <c r="Y503" s="542"/>
      <c r="Z503" s="542"/>
    </row>
    <row r="504" spans="1:26" s="71" customFormat="1" ht="14.25" customHeight="1">
      <c r="A504" s="419" t="s">
        <v>38</v>
      </c>
      <c r="B504" s="419" t="s">
        <v>151</v>
      </c>
      <c r="C504" s="71" t="s">
        <v>1035</v>
      </c>
      <c r="D504" s="472" t="s">
        <v>1655</v>
      </c>
      <c r="E504" s="71" t="s">
        <v>1510</v>
      </c>
      <c r="F504" s="71" t="s">
        <v>1710</v>
      </c>
      <c r="G504" s="71" t="s">
        <v>1710</v>
      </c>
      <c r="H504" s="71" t="s">
        <v>42</v>
      </c>
      <c r="I504" s="419" t="s">
        <v>135</v>
      </c>
      <c r="J504" s="71" t="s">
        <v>44</v>
      </c>
      <c r="K504" s="71" t="s">
        <v>44</v>
      </c>
      <c r="L504" s="419" t="s">
        <v>760</v>
      </c>
      <c r="M504" s="71" t="s">
        <v>45</v>
      </c>
      <c r="N504" s="419">
        <v>24.998349999999999</v>
      </c>
      <c r="O504" s="419">
        <v>96.364949999999993</v>
      </c>
      <c r="P504" s="71" t="s">
        <v>761</v>
      </c>
      <c r="R504" s="422"/>
      <c r="S504" s="423"/>
      <c r="T504" s="105"/>
      <c r="U504" s="101"/>
      <c r="V504" s="71" t="s">
        <v>1035</v>
      </c>
      <c r="W504" s="419" t="s">
        <v>2173</v>
      </c>
      <c r="X504" s="542"/>
      <c r="Y504" s="542"/>
      <c r="Z504" s="542"/>
    </row>
    <row r="505" spans="1:26" s="71" customFormat="1" ht="14.25" customHeight="1">
      <c r="A505" s="419" t="s">
        <v>38</v>
      </c>
      <c r="B505" s="419" t="s">
        <v>151</v>
      </c>
      <c r="C505" s="419" t="s">
        <v>152</v>
      </c>
      <c r="D505" s="472" t="s">
        <v>2897</v>
      </c>
      <c r="E505" s="419" t="s">
        <v>1511</v>
      </c>
      <c r="H505" s="71" t="s">
        <v>42</v>
      </c>
      <c r="I505" s="419" t="s">
        <v>135</v>
      </c>
      <c r="J505" s="71" t="s">
        <v>44</v>
      </c>
      <c r="K505" s="71" t="s">
        <v>44</v>
      </c>
      <c r="L505" s="71" t="s">
        <v>44</v>
      </c>
      <c r="M505" s="71" t="s">
        <v>45</v>
      </c>
      <c r="N505" s="419">
        <v>24.998349999999999</v>
      </c>
      <c r="O505" s="419">
        <v>96.364949999999993</v>
      </c>
      <c r="P505" s="71" t="s">
        <v>761</v>
      </c>
      <c r="Q505" s="71" t="s">
        <v>780</v>
      </c>
      <c r="R505" s="422">
        <v>26</v>
      </c>
      <c r="S505" s="422">
        <v>117</v>
      </c>
      <c r="T505" s="105"/>
      <c r="U505" s="101"/>
      <c r="V505" s="71" t="s">
        <v>1036</v>
      </c>
      <c r="W505" s="413" t="s">
        <v>2279</v>
      </c>
      <c r="X505" s="542"/>
      <c r="Y505" s="542"/>
      <c r="Z505" s="542"/>
    </row>
    <row r="506" spans="1:26" s="71" customFormat="1" ht="14.25" customHeight="1">
      <c r="A506" s="419" t="s">
        <v>38</v>
      </c>
      <c r="B506" s="420" t="s">
        <v>151</v>
      </c>
      <c r="C506" s="420" t="s">
        <v>233</v>
      </c>
      <c r="D506" s="472" t="s">
        <v>2897</v>
      </c>
      <c r="E506" s="419" t="s">
        <v>1505</v>
      </c>
      <c r="F506" s="71" t="s">
        <v>1795</v>
      </c>
      <c r="G506" s="71" t="s">
        <v>1796</v>
      </c>
      <c r="H506" s="71" t="s">
        <v>42</v>
      </c>
      <c r="I506" s="419" t="s">
        <v>1314</v>
      </c>
      <c r="J506" s="71" t="s">
        <v>44</v>
      </c>
      <c r="K506" s="419" t="s">
        <v>44</v>
      </c>
      <c r="L506" s="419" t="s">
        <v>44</v>
      </c>
      <c r="M506" s="71" t="s">
        <v>45</v>
      </c>
      <c r="N506" s="419">
        <v>24.764800000000001</v>
      </c>
      <c r="O506" s="419">
        <v>96.367059999999995</v>
      </c>
      <c r="P506" s="419" t="s">
        <v>761</v>
      </c>
      <c r="Q506" s="71" t="s">
        <v>780</v>
      </c>
      <c r="R506" s="422">
        <v>11</v>
      </c>
      <c r="S506" s="422">
        <v>68</v>
      </c>
      <c r="T506" s="105"/>
      <c r="U506" s="101"/>
      <c r="V506" s="71" t="s">
        <v>233</v>
      </c>
      <c r="X506" s="542"/>
      <c r="Y506" s="542"/>
      <c r="Z506" s="542"/>
    </row>
    <row r="507" spans="1:26" s="71" customFormat="1" ht="14.25" customHeight="1">
      <c r="A507" s="423" t="s">
        <v>38</v>
      </c>
      <c r="B507" s="426" t="s">
        <v>2035</v>
      </c>
      <c r="C507" s="427" t="s">
        <v>2040</v>
      </c>
      <c r="D507" s="421"/>
      <c r="I507" s="419"/>
      <c r="J507" s="71" t="s">
        <v>1449</v>
      </c>
      <c r="K507" s="420" t="s">
        <v>44</v>
      </c>
      <c r="L507" s="420" t="s">
        <v>776</v>
      </c>
      <c r="M507" s="71" t="s">
        <v>778</v>
      </c>
      <c r="N507" s="419"/>
      <c r="O507" s="419"/>
      <c r="P507" s="71" t="s">
        <v>761</v>
      </c>
      <c r="R507" s="430"/>
      <c r="S507" s="423"/>
      <c r="T507" s="105">
        <v>43298</v>
      </c>
      <c r="U507" s="101"/>
      <c r="W507" s="419"/>
      <c r="X507" s="542"/>
      <c r="Y507" s="542"/>
      <c r="Z507" s="542"/>
    </row>
    <row r="508" spans="1:26" s="71" customFormat="1" ht="14.25" customHeight="1">
      <c r="A508" s="419" t="s">
        <v>38</v>
      </c>
      <c r="B508" s="419" t="s">
        <v>199</v>
      </c>
      <c r="C508" s="419" t="s">
        <v>200</v>
      </c>
      <c r="D508" s="472" t="s">
        <v>1654</v>
      </c>
      <c r="J508" s="71" t="s">
        <v>1449</v>
      </c>
      <c r="K508" s="71" t="s">
        <v>44</v>
      </c>
      <c r="L508" s="71" t="s">
        <v>44</v>
      </c>
      <c r="M508" s="71" t="s">
        <v>45</v>
      </c>
      <c r="N508" s="419"/>
      <c r="O508" s="419"/>
      <c r="P508" s="71" t="s">
        <v>761</v>
      </c>
      <c r="Q508" s="71" t="s">
        <v>780</v>
      </c>
      <c r="R508" s="422"/>
      <c r="S508" s="423"/>
      <c r="T508" s="105"/>
      <c r="U508" s="101" t="s">
        <v>1090</v>
      </c>
      <c r="V508" s="71" t="s">
        <v>200</v>
      </c>
      <c r="W508" s="419"/>
      <c r="X508" s="542"/>
      <c r="Y508" s="542"/>
      <c r="Z508" s="542"/>
    </row>
    <row r="509" spans="1:26" s="71" customFormat="1" ht="14.25" customHeight="1">
      <c r="A509" s="419" t="s">
        <v>38</v>
      </c>
      <c r="B509" s="419" t="s">
        <v>199</v>
      </c>
      <c r="C509" s="419" t="s">
        <v>1021</v>
      </c>
      <c r="D509" s="472" t="s">
        <v>1655</v>
      </c>
      <c r="E509" s="71" t="s">
        <v>1497</v>
      </c>
      <c r="F509" s="71" t="s">
        <v>1703</v>
      </c>
      <c r="G509" s="71" t="s">
        <v>1704</v>
      </c>
      <c r="I509" s="71">
        <v>0</v>
      </c>
      <c r="J509" s="71" t="s">
        <v>44</v>
      </c>
      <c r="K509" s="71" t="s">
        <v>44</v>
      </c>
      <c r="L509" s="71" t="s">
        <v>760</v>
      </c>
      <c r="M509" s="71" t="s">
        <v>45</v>
      </c>
      <c r="N509" s="419">
        <v>24.613976000000001</v>
      </c>
      <c r="O509" s="419">
        <v>97.461271999999994</v>
      </c>
      <c r="P509" s="419" t="s">
        <v>761</v>
      </c>
      <c r="Q509" s="419" t="s">
        <v>762</v>
      </c>
      <c r="R509" s="422"/>
      <c r="S509" s="423"/>
      <c r="T509" s="442">
        <v>42983</v>
      </c>
      <c r="U509" s="101" t="s">
        <v>1022</v>
      </c>
      <c r="V509" s="419" t="s">
        <v>1021</v>
      </c>
      <c r="W509" s="413" t="s">
        <v>2174</v>
      </c>
      <c r="X509" s="542"/>
      <c r="Y509" s="542"/>
      <c r="Z509" s="542"/>
    </row>
    <row r="510" spans="1:26" s="71" customFormat="1" ht="14.25" customHeight="1">
      <c r="A510" s="419" t="s">
        <v>38</v>
      </c>
      <c r="B510" s="419" t="s">
        <v>199</v>
      </c>
      <c r="C510" s="419" t="s">
        <v>226</v>
      </c>
      <c r="D510" s="472" t="s">
        <v>2897</v>
      </c>
      <c r="E510" s="71" t="s">
        <v>1495</v>
      </c>
      <c r="F510" s="71" t="s">
        <v>1791</v>
      </c>
      <c r="G510" s="71" t="s">
        <v>1792</v>
      </c>
      <c r="H510" s="71" t="s">
        <v>42</v>
      </c>
      <c r="I510" s="71" t="s">
        <v>1314</v>
      </c>
      <c r="J510" s="71" t="s">
        <v>44</v>
      </c>
      <c r="K510" s="71" t="s">
        <v>44</v>
      </c>
      <c r="L510" s="71" t="s">
        <v>44</v>
      </c>
      <c r="M510" s="71" t="s">
        <v>778</v>
      </c>
      <c r="N510" s="419">
        <v>24.461033</v>
      </c>
      <c r="O510" s="419">
        <v>97.537099999999995</v>
      </c>
      <c r="P510" s="419" t="s">
        <v>761</v>
      </c>
      <c r="Q510" s="71" t="s">
        <v>780</v>
      </c>
      <c r="R510" s="422">
        <v>80</v>
      </c>
      <c r="S510" s="422">
        <v>378</v>
      </c>
      <c r="T510" s="105"/>
      <c r="U510" s="101"/>
      <c r="V510" s="71" t="s">
        <v>226</v>
      </c>
      <c r="W510" s="419"/>
      <c r="X510" s="542"/>
      <c r="Y510" s="542"/>
      <c r="Z510" s="542"/>
    </row>
    <row r="511" spans="1:26" s="71" customFormat="1" ht="14.25" customHeight="1">
      <c r="A511" s="419" t="s">
        <v>38</v>
      </c>
      <c r="B511" s="419" t="s">
        <v>199</v>
      </c>
      <c r="C511" s="419" t="s">
        <v>211</v>
      </c>
      <c r="D511" s="472" t="s">
        <v>2897</v>
      </c>
      <c r="E511" s="71" t="s">
        <v>1499</v>
      </c>
      <c r="F511" s="71" t="s">
        <v>1793</v>
      </c>
      <c r="G511" s="71" t="s">
        <v>1794</v>
      </c>
      <c r="H511" s="71" t="s">
        <v>42</v>
      </c>
      <c r="I511" s="71" t="s">
        <v>1314</v>
      </c>
      <c r="J511" s="71" t="s">
        <v>44</v>
      </c>
      <c r="K511" s="71" t="s">
        <v>44</v>
      </c>
      <c r="L511" s="71" t="s">
        <v>44</v>
      </c>
      <c r="M511" s="71" t="s">
        <v>778</v>
      </c>
      <c r="N511" s="419">
        <v>24.661905999999998</v>
      </c>
      <c r="O511" s="419">
        <v>97.573126000000002</v>
      </c>
      <c r="P511" s="17" t="s">
        <v>1995</v>
      </c>
      <c r="Q511" s="419" t="s">
        <v>780</v>
      </c>
      <c r="R511" s="422">
        <v>717</v>
      </c>
      <c r="S511" s="422">
        <v>3658</v>
      </c>
      <c r="T511" s="442"/>
      <c r="U511" s="101"/>
      <c r="V511" s="71" t="s">
        <v>211</v>
      </c>
      <c r="W511" s="419"/>
      <c r="X511" s="542"/>
      <c r="Y511" s="542"/>
      <c r="Z511" s="542"/>
    </row>
    <row r="512" spans="1:26" s="71" customFormat="1" ht="14.25" customHeight="1">
      <c r="A512" s="419" t="s">
        <v>38</v>
      </c>
      <c r="B512" s="419" t="s">
        <v>199</v>
      </c>
      <c r="C512" s="419" t="s">
        <v>284</v>
      </c>
      <c r="D512" s="472" t="s">
        <v>2897</v>
      </c>
      <c r="E512" s="71" t="s">
        <v>1500</v>
      </c>
      <c r="F512" s="71" t="s">
        <v>1793</v>
      </c>
      <c r="G512" s="71" t="s">
        <v>1794</v>
      </c>
      <c r="H512" s="71" t="s">
        <v>42</v>
      </c>
      <c r="I512" s="419" t="s">
        <v>1314</v>
      </c>
      <c r="J512" s="71" t="s">
        <v>44</v>
      </c>
      <c r="K512" s="71" t="s">
        <v>44</v>
      </c>
      <c r="L512" s="71" t="s">
        <v>44</v>
      </c>
      <c r="M512" s="71" t="s">
        <v>778</v>
      </c>
      <c r="N512" s="419">
        <v>24.688338999999999</v>
      </c>
      <c r="O512" s="419">
        <v>97.568331999999998</v>
      </c>
      <c r="P512" s="17" t="s">
        <v>1995</v>
      </c>
      <c r="Q512" s="71" t="s">
        <v>780</v>
      </c>
      <c r="R512" s="422">
        <v>1527</v>
      </c>
      <c r="S512" s="422">
        <v>8721</v>
      </c>
      <c r="T512" s="105"/>
      <c r="U512" s="101"/>
      <c r="V512" s="71" t="s">
        <v>284</v>
      </c>
      <c r="X512" s="542"/>
      <c r="Y512" s="542"/>
      <c r="Z512" s="542"/>
    </row>
    <row r="513" spans="1:26" s="71" customFormat="1" ht="14.25" customHeight="1">
      <c r="A513" s="419" t="s">
        <v>38</v>
      </c>
      <c r="B513" s="419" t="s">
        <v>199</v>
      </c>
      <c r="C513" s="419" t="s">
        <v>201</v>
      </c>
      <c r="D513" s="472" t="s">
        <v>1654</v>
      </c>
      <c r="J513" s="71" t="s">
        <v>1449</v>
      </c>
      <c r="K513" s="71" t="s">
        <v>44</v>
      </c>
      <c r="L513" s="419" t="s">
        <v>44</v>
      </c>
      <c r="M513" s="71" t="s">
        <v>45</v>
      </c>
      <c r="N513" s="419"/>
      <c r="O513" s="419"/>
      <c r="P513" s="419" t="s">
        <v>761</v>
      </c>
      <c r="Q513" s="71" t="s">
        <v>780</v>
      </c>
      <c r="R513" s="422"/>
      <c r="S513" s="423"/>
      <c r="T513" s="105"/>
      <c r="U513" s="424" t="s">
        <v>1090</v>
      </c>
      <c r="V513" s="71" t="s">
        <v>201</v>
      </c>
      <c r="W513" s="419"/>
      <c r="X513" s="542"/>
      <c r="Y513" s="542"/>
      <c r="Z513" s="542"/>
    </row>
    <row r="514" spans="1:26" s="71" customFormat="1" ht="14.25" customHeight="1">
      <c r="A514" s="419" t="s">
        <v>38</v>
      </c>
      <c r="B514" s="419" t="s">
        <v>199</v>
      </c>
      <c r="C514" s="419" t="s">
        <v>203</v>
      </c>
      <c r="D514" s="472" t="s">
        <v>1654</v>
      </c>
      <c r="H514" s="419"/>
      <c r="J514" s="71" t="s">
        <v>1449</v>
      </c>
      <c r="K514" s="419" t="s">
        <v>44</v>
      </c>
      <c r="L514" s="419" t="s">
        <v>44</v>
      </c>
      <c r="M514" s="71" t="s">
        <v>45</v>
      </c>
      <c r="N514" s="419"/>
      <c r="O514" s="419"/>
      <c r="P514" s="419" t="s">
        <v>761</v>
      </c>
      <c r="Q514" s="71" t="s">
        <v>780</v>
      </c>
      <c r="R514" s="422"/>
      <c r="S514" s="423"/>
      <c r="T514" s="105"/>
      <c r="U514" s="101" t="s">
        <v>1090</v>
      </c>
      <c r="V514" s="71" t="s">
        <v>203</v>
      </c>
      <c r="W514" s="419"/>
      <c r="X514" s="542"/>
      <c r="Y514" s="542"/>
      <c r="Z514" s="542"/>
    </row>
    <row r="515" spans="1:26" s="71" customFormat="1" ht="14.25" customHeight="1">
      <c r="A515" s="419" t="s">
        <v>38</v>
      </c>
      <c r="B515" s="419" t="s">
        <v>199</v>
      </c>
      <c r="C515" s="419" t="s">
        <v>1012</v>
      </c>
      <c r="D515" s="472" t="s">
        <v>2897</v>
      </c>
      <c r="E515" s="71" t="s">
        <v>1490</v>
      </c>
      <c r="F515" s="71" t="s">
        <v>1862</v>
      </c>
      <c r="G515" s="71" t="s">
        <v>1863</v>
      </c>
      <c r="H515" s="419"/>
      <c r="I515" s="419" t="s">
        <v>2142</v>
      </c>
      <c r="J515" s="71" t="s">
        <v>44</v>
      </c>
      <c r="K515" s="71" t="s">
        <v>44</v>
      </c>
      <c r="L515" s="71" t="s">
        <v>772</v>
      </c>
      <c r="M515" s="71" t="s">
        <v>45</v>
      </c>
      <c r="N515" s="419">
        <v>24.377054000000001</v>
      </c>
      <c r="O515" s="419">
        <v>97.343406999999999</v>
      </c>
      <c r="P515" s="71" t="s">
        <v>773</v>
      </c>
      <c r="Q515" s="71" t="s">
        <v>762</v>
      </c>
      <c r="R515" s="422">
        <v>3</v>
      </c>
      <c r="S515" s="422">
        <v>18</v>
      </c>
      <c r="T515" s="105"/>
      <c r="U515" s="101" t="s">
        <v>1013</v>
      </c>
      <c r="V515" s="71" t="s">
        <v>1012</v>
      </c>
      <c r="X515" s="542"/>
      <c r="Y515" s="542"/>
      <c r="Z515" s="542"/>
    </row>
    <row r="516" spans="1:26" s="71" customFormat="1" ht="14.25" customHeight="1">
      <c r="A516" s="419" t="s">
        <v>38</v>
      </c>
      <c r="B516" s="419" t="s">
        <v>199</v>
      </c>
      <c r="C516" s="419" t="s">
        <v>283</v>
      </c>
      <c r="D516" s="472" t="s">
        <v>1654</v>
      </c>
      <c r="H516" s="419"/>
      <c r="J516" s="71" t="s">
        <v>1449</v>
      </c>
      <c r="K516" s="71" t="s">
        <v>44</v>
      </c>
      <c r="L516" s="71" t="s">
        <v>1099</v>
      </c>
      <c r="M516" s="71" t="s">
        <v>778</v>
      </c>
      <c r="N516" s="419"/>
      <c r="O516" s="419"/>
      <c r="P516" s="71" t="s">
        <v>761</v>
      </c>
      <c r="Q516" s="71" t="s">
        <v>762</v>
      </c>
      <c r="R516" s="422"/>
      <c r="S516" s="423"/>
      <c r="T516" s="105">
        <v>42849</v>
      </c>
      <c r="U516" s="101"/>
      <c r="X516" s="542"/>
      <c r="Y516" s="542"/>
      <c r="Z516" s="542"/>
    </row>
    <row r="517" spans="1:26" s="71" customFormat="1" ht="14.25" customHeight="1">
      <c r="A517" s="419" t="s">
        <v>38</v>
      </c>
      <c r="B517" s="419" t="s">
        <v>199</v>
      </c>
      <c r="C517" s="419" t="s">
        <v>275</v>
      </c>
      <c r="D517" s="472" t="s">
        <v>2897</v>
      </c>
      <c r="E517" s="71" t="s">
        <v>1465</v>
      </c>
      <c r="F517" s="71" t="s">
        <v>1774</v>
      </c>
      <c r="G517" s="71" t="s">
        <v>1776</v>
      </c>
      <c r="H517" s="419" t="s">
        <v>42</v>
      </c>
      <c r="I517" s="419" t="s">
        <v>135</v>
      </c>
      <c r="J517" s="71" t="s">
        <v>44</v>
      </c>
      <c r="K517" s="419" t="s">
        <v>44</v>
      </c>
      <c r="L517" s="419" t="s">
        <v>44</v>
      </c>
      <c r="M517" s="71" t="s">
        <v>45</v>
      </c>
      <c r="N517" s="419">
        <v>24.200972</v>
      </c>
      <c r="O517" s="419">
        <v>97.718582999999995</v>
      </c>
      <c r="P517" s="419" t="s">
        <v>761</v>
      </c>
      <c r="Q517" s="71" t="s">
        <v>780</v>
      </c>
      <c r="R517" s="422">
        <v>38</v>
      </c>
      <c r="S517" s="422">
        <v>244</v>
      </c>
      <c r="T517" s="105"/>
      <c r="U517" s="101"/>
      <c r="V517" s="71" t="s">
        <v>275</v>
      </c>
      <c r="W517" s="419"/>
      <c r="X517" s="542"/>
      <c r="Y517" s="542"/>
      <c r="Z517" s="542"/>
    </row>
    <row r="518" spans="1:26" s="71" customFormat="1" ht="14.25" customHeight="1">
      <c r="A518" s="419" t="s">
        <v>38</v>
      </c>
      <c r="B518" s="419" t="s">
        <v>199</v>
      </c>
      <c r="C518" s="419" t="s">
        <v>276</v>
      </c>
      <c r="D518" s="472" t="s">
        <v>2897</v>
      </c>
      <c r="E518" s="419" t="s">
        <v>1466</v>
      </c>
      <c r="F518" s="419" t="s">
        <v>1774</v>
      </c>
      <c r="G518" s="419" t="s">
        <v>1776</v>
      </c>
      <c r="H518" s="419" t="s">
        <v>42</v>
      </c>
      <c r="I518" s="419" t="s">
        <v>43</v>
      </c>
      <c r="J518" s="419" t="s">
        <v>44</v>
      </c>
      <c r="K518" s="419" t="s">
        <v>44</v>
      </c>
      <c r="L518" s="419" t="s">
        <v>44</v>
      </c>
      <c r="M518" s="419" t="s">
        <v>45</v>
      </c>
      <c r="N518" s="419">
        <v>24.205417000000001</v>
      </c>
      <c r="O518" s="419">
        <v>97.724566999999993</v>
      </c>
      <c r="P518" s="419" t="s">
        <v>761</v>
      </c>
      <c r="Q518" s="419" t="s">
        <v>780</v>
      </c>
      <c r="R518" s="422">
        <v>129</v>
      </c>
      <c r="S518" s="422">
        <v>646</v>
      </c>
      <c r="T518" s="442"/>
      <c r="U518" s="424"/>
      <c r="V518" s="419" t="s">
        <v>276</v>
      </c>
      <c r="W518" s="419"/>
      <c r="X518" s="542"/>
      <c r="Y518" s="542"/>
      <c r="Z518" s="542"/>
    </row>
    <row r="519" spans="1:26" s="71" customFormat="1" ht="14.25" customHeight="1">
      <c r="A519" s="419" t="s">
        <v>38</v>
      </c>
      <c r="B519" s="419" t="s">
        <v>199</v>
      </c>
      <c r="C519" s="419" t="s">
        <v>1107</v>
      </c>
      <c r="D519" s="472" t="s">
        <v>1654</v>
      </c>
      <c r="J519" s="71" t="s">
        <v>44</v>
      </c>
      <c r="K519" s="71" t="s">
        <v>44</v>
      </c>
      <c r="L519" s="71" t="s">
        <v>1087</v>
      </c>
      <c r="M519" s="71" t="s">
        <v>45</v>
      </c>
      <c r="N519" s="419"/>
      <c r="O519" s="419"/>
      <c r="P519" s="71" t="s">
        <v>761</v>
      </c>
      <c r="R519" s="99"/>
      <c r="S519" s="423"/>
      <c r="T519" s="105"/>
      <c r="U519" s="101"/>
      <c r="V519" s="71" t="s">
        <v>1108</v>
      </c>
      <c r="X519" s="542"/>
      <c r="Y519" s="542"/>
      <c r="Z519" s="542"/>
    </row>
    <row r="520" spans="1:26" s="71" customFormat="1" ht="14.25" customHeight="1">
      <c r="A520" s="419" t="s">
        <v>38</v>
      </c>
      <c r="B520" s="419" t="s">
        <v>199</v>
      </c>
      <c r="C520" s="419" t="s">
        <v>1109</v>
      </c>
      <c r="D520" s="472" t="s">
        <v>1654</v>
      </c>
      <c r="H520" s="419"/>
      <c r="I520" s="419"/>
      <c r="J520" s="71" t="s">
        <v>44</v>
      </c>
      <c r="K520" s="71" t="s">
        <v>44</v>
      </c>
      <c r="L520" s="71" t="s">
        <v>1087</v>
      </c>
      <c r="M520" s="71" t="s">
        <v>45</v>
      </c>
      <c r="N520" s="419"/>
      <c r="O520" s="419"/>
      <c r="P520" s="71" t="s">
        <v>761</v>
      </c>
      <c r="R520" s="422"/>
      <c r="S520" s="423"/>
      <c r="T520" s="105"/>
      <c r="U520" s="101"/>
      <c r="V520" s="71" t="s">
        <v>1110</v>
      </c>
      <c r="W520" s="419"/>
      <c r="X520" s="542"/>
      <c r="Y520" s="542"/>
      <c r="Z520" s="542"/>
    </row>
    <row r="521" spans="1:26" s="71" customFormat="1" ht="14.25" customHeight="1">
      <c r="A521" s="419" t="s">
        <v>38</v>
      </c>
      <c r="B521" s="419" t="s">
        <v>199</v>
      </c>
      <c r="C521" s="419" t="s">
        <v>1111</v>
      </c>
      <c r="D521" s="472" t="s">
        <v>1654</v>
      </c>
      <c r="H521" s="419"/>
      <c r="J521" s="71" t="s">
        <v>44</v>
      </c>
      <c r="K521" s="71" t="s">
        <v>44</v>
      </c>
      <c r="L521" s="71" t="s">
        <v>1087</v>
      </c>
      <c r="M521" s="71" t="s">
        <v>45</v>
      </c>
      <c r="N521" s="419"/>
      <c r="O521" s="419"/>
      <c r="P521" s="419" t="s">
        <v>761</v>
      </c>
      <c r="R521" s="422"/>
      <c r="S521" s="423"/>
      <c r="T521" s="105"/>
      <c r="U521" s="101"/>
      <c r="V521" s="71" t="s">
        <v>1112</v>
      </c>
      <c r="W521" s="419"/>
      <c r="X521" s="542"/>
      <c r="Y521" s="542"/>
      <c r="Z521" s="542"/>
    </row>
    <row r="522" spans="1:26" s="71" customFormat="1" ht="14.25" customHeight="1">
      <c r="A522" s="419" t="s">
        <v>38</v>
      </c>
      <c r="B522" s="419" t="s">
        <v>199</v>
      </c>
      <c r="C522" s="419" t="s">
        <v>277</v>
      </c>
      <c r="D522" s="472" t="s">
        <v>2897</v>
      </c>
      <c r="E522" s="71" t="s">
        <v>1464</v>
      </c>
      <c r="F522" s="71" t="s">
        <v>1774</v>
      </c>
      <c r="G522" s="71" t="s">
        <v>1775</v>
      </c>
      <c r="H522" s="419" t="s">
        <v>42</v>
      </c>
      <c r="I522" s="419" t="s">
        <v>135</v>
      </c>
      <c r="J522" s="71" t="s">
        <v>44</v>
      </c>
      <c r="K522" s="71" t="s">
        <v>44</v>
      </c>
      <c r="L522" s="419" t="s">
        <v>44</v>
      </c>
      <c r="M522" s="71" t="s">
        <v>45</v>
      </c>
      <c r="N522" s="419">
        <v>24.200433</v>
      </c>
      <c r="O522" s="419">
        <v>97.717133000000004</v>
      </c>
      <c r="P522" s="419" t="s">
        <v>761</v>
      </c>
      <c r="Q522" s="71" t="s">
        <v>780</v>
      </c>
      <c r="R522" s="422">
        <v>210</v>
      </c>
      <c r="S522" s="422">
        <v>1212</v>
      </c>
      <c r="T522" s="105"/>
      <c r="U522" s="101"/>
      <c r="V522" s="71" t="s">
        <v>277</v>
      </c>
      <c r="W522" s="419"/>
      <c r="X522" s="542"/>
      <c r="Y522" s="542"/>
      <c r="Z522" s="542"/>
    </row>
    <row r="523" spans="1:26" s="71" customFormat="1" ht="14.25" customHeight="1">
      <c r="A523" s="419" t="s">
        <v>38</v>
      </c>
      <c r="B523" s="419" t="s">
        <v>199</v>
      </c>
      <c r="C523" s="419" t="s">
        <v>1113</v>
      </c>
      <c r="D523" s="472" t="s">
        <v>1654</v>
      </c>
      <c r="H523" s="419"/>
      <c r="I523" s="419"/>
      <c r="J523" s="71" t="s">
        <v>1099</v>
      </c>
      <c r="K523" s="71" t="s">
        <v>44</v>
      </c>
      <c r="L523" s="71" t="s">
        <v>760</v>
      </c>
      <c r="M523" s="71" t="s">
        <v>45</v>
      </c>
      <c r="N523" s="419"/>
      <c r="O523" s="419"/>
      <c r="P523" s="71" t="s">
        <v>761</v>
      </c>
      <c r="R523" s="422"/>
      <c r="S523" s="423"/>
      <c r="T523" s="105"/>
      <c r="U523" s="101"/>
      <c r="V523" s="71" t="s">
        <v>1113</v>
      </c>
      <c r="W523" s="419"/>
      <c r="X523" s="542"/>
      <c r="Y523" s="542"/>
      <c r="Z523" s="542"/>
    </row>
    <row r="524" spans="1:26" s="71" customFormat="1" ht="14.25" customHeight="1">
      <c r="A524" s="419" t="s">
        <v>38</v>
      </c>
      <c r="B524" s="419" t="s">
        <v>199</v>
      </c>
      <c r="C524" s="419" t="s">
        <v>282</v>
      </c>
      <c r="D524" s="472" t="s">
        <v>1654</v>
      </c>
      <c r="H524" s="419"/>
      <c r="I524" s="419"/>
      <c r="J524" s="71" t="s">
        <v>1449</v>
      </c>
      <c r="K524" s="71" t="s">
        <v>44</v>
      </c>
      <c r="L524" s="71" t="s">
        <v>1099</v>
      </c>
      <c r="M524" s="71" t="s">
        <v>45</v>
      </c>
      <c r="N524" s="419"/>
      <c r="O524" s="419"/>
      <c r="P524" s="71" t="s">
        <v>761</v>
      </c>
      <c r="Q524" s="71" t="s">
        <v>762</v>
      </c>
      <c r="R524" s="422"/>
      <c r="S524" s="423"/>
      <c r="T524" s="105">
        <v>42849</v>
      </c>
      <c r="U524" s="101"/>
      <c r="W524" s="419"/>
      <c r="X524" s="542"/>
      <c r="Y524" s="542"/>
      <c r="Z524" s="542"/>
    </row>
    <row r="525" spans="1:26" s="71" customFormat="1" ht="14.25" customHeight="1">
      <c r="A525" s="419" t="s">
        <v>38</v>
      </c>
      <c r="B525" s="419" t="s">
        <v>199</v>
      </c>
      <c r="C525" s="419" t="s">
        <v>1018</v>
      </c>
      <c r="D525" s="472" t="s">
        <v>1655</v>
      </c>
      <c r="E525" s="71" t="s">
        <v>1494</v>
      </c>
      <c r="F525" s="71" t="s">
        <v>1701</v>
      </c>
      <c r="G525" s="71" t="s">
        <v>1701</v>
      </c>
      <c r="I525" s="71">
        <v>0</v>
      </c>
      <c r="J525" s="71" t="s">
        <v>44</v>
      </c>
      <c r="K525" s="71" t="s">
        <v>44</v>
      </c>
      <c r="L525" s="71" t="s">
        <v>760</v>
      </c>
      <c r="M525" s="71" t="s">
        <v>45</v>
      </c>
      <c r="N525" s="419">
        <v>24.441697000000001</v>
      </c>
      <c r="O525" s="419">
        <v>97.409474000000003</v>
      </c>
      <c r="P525" s="71" t="s">
        <v>773</v>
      </c>
      <c r="Q525" s="71" t="s">
        <v>762</v>
      </c>
      <c r="R525" s="422"/>
      <c r="S525" s="423"/>
      <c r="T525" s="105">
        <v>42983</v>
      </c>
      <c r="U525" s="101" t="s">
        <v>1019</v>
      </c>
      <c r="V525" s="71" t="s">
        <v>1018</v>
      </c>
      <c r="W525" s="413" t="s">
        <v>2175</v>
      </c>
      <c r="X525" s="542"/>
      <c r="Y525" s="542"/>
      <c r="Z525" s="542"/>
    </row>
    <row r="526" spans="1:26" s="71" customFormat="1" ht="14.25" customHeight="1">
      <c r="A526" s="419" t="s">
        <v>38</v>
      </c>
      <c r="B526" s="419" t="s">
        <v>199</v>
      </c>
      <c r="C526" s="419" t="s">
        <v>204</v>
      </c>
      <c r="D526" s="472" t="s">
        <v>2897</v>
      </c>
      <c r="E526" s="419" t="s">
        <v>1472</v>
      </c>
      <c r="F526" s="419" t="s">
        <v>1780</v>
      </c>
      <c r="G526" s="419" t="s">
        <v>1780</v>
      </c>
      <c r="H526" s="419" t="s">
        <v>42</v>
      </c>
      <c r="I526" s="419" t="s">
        <v>43</v>
      </c>
      <c r="J526" s="71" t="s">
        <v>44</v>
      </c>
      <c r="K526" s="71" t="s">
        <v>44</v>
      </c>
      <c r="L526" s="419" t="s">
        <v>44</v>
      </c>
      <c r="M526" s="71" t="s">
        <v>45</v>
      </c>
      <c r="N526" s="419">
        <v>24.245100000000001</v>
      </c>
      <c r="O526" s="419">
        <v>97.325019999999995</v>
      </c>
      <c r="P526" s="419" t="s">
        <v>761</v>
      </c>
      <c r="Q526" s="71" t="s">
        <v>780</v>
      </c>
      <c r="R526" s="422">
        <v>299</v>
      </c>
      <c r="S526" s="422">
        <v>1373</v>
      </c>
      <c r="T526" s="105"/>
      <c r="U526" s="424"/>
      <c r="V526" s="419" t="s">
        <v>204</v>
      </c>
      <c r="W526" s="419"/>
      <c r="X526" s="542"/>
      <c r="Y526" s="542"/>
      <c r="Z526" s="542"/>
    </row>
    <row r="527" spans="1:26" s="71" customFormat="1" ht="14.25" customHeight="1">
      <c r="A527" s="419" t="s">
        <v>38</v>
      </c>
      <c r="B527" s="419" t="s">
        <v>199</v>
      </c>
      <c r="C527" s="419" t="s">
        <v>281</v>
      </c>
      <c r="D527" s="472" t="s">
        <v>1654</v>
      </c>
      <c r="H527" s="419"/>
      <c r="I527" s="419"/>
      <c r="J527" s="71" t="s">
        <v>1449</v>
      </c>
      <c r="K527" s="71" t="s">
        <v>44</v>
      </c>
      <c r="L527" s="71" t="s">
        <v>44</v>
      </c>
      <c r="M527" s="71" t="s">
        <v>45</v>
      </c>
      <c r="N527" s="419"/>
      <c r="O527" s="419"/>
      <c r="P527" s="419" t="s">
        <v>761</v>
      </c>
      <c r="Q527" s="71" t="s">
        <v>780</v>
      </c>
      <c r="R527" s="422"/>
      <c r="S527" s="423"/>
      <c r="T527" s="105"/>
      <c r="U527" s="101" t="s">
        <v>1090</v>
      </c>
      <c r="V527" s="71" t="s">
        <v>281</v>
      </c>
      <c r="W527" s="419"/>
      <c r="X527" s="542"/>
      <c r="Y527" s="542"/>
      <c r="Z527" s="542"/>
    </row>
    <row r="528" spans="1:26" s="71" customFormat="1" ht="14.25" customHeight="1">
      <c r="A528" s="419" t="s">
        <v>38</v>
      </c>
      <c r="B528" s="419" t="s">
        <v>199</v>
      </c>
      <c r="C528" s="419" t="s">
        <v>1016</v>
      </c>
      <c r="D528" s="472" t="s">
        <v>1655</v>
      </c>
      <c r="E528" s="71" t="s">
        <v>1493</v>
      </c>
      <c r="F528" s="71" t="s">
        <v>1700</v>
      </c>
      <c r="G528" s="71" t="s">
        <v>1700</v>
      </c>
      <c r="I528" s="71">
        <v>0</v>
      </c>
      <c r="J528" s="71" t="s">
        <v>44</v>
      </c>
      <c r="K528" s="71" t="s">
        <v>44</v>
      </c>
      <c r="L528" s="71" t="s">
        <v>760</v>
      </c>
      <c r="M528" s="71" t="s">
        <v>45</v>
      </c>
      <c r="N528" s="419">
        <v>24.410008999999999</v>
      </c>
      <c r="O528" s="419">
        <v>97.321659999999994</v>
      </c>
      <c r="P528" s="71" t="s">
        <v>773</v>
      </c>
      <c r="Q528" s="71" t="s">
        <v>762</v>
      </c>
      <c r="R528" s="422"/>
      <c r="S528" s="423"/>
      <c r="T528" s="105">
        <v>42983</v>
      </c>
      <c r="U528" s="101" t="s">
        <v>1017</v>
      </c>
      <c r="V528" s="71" t="s">
        <v>1016</v>
      </c>
      <c r="W528" s="419" t="s">
        <v>2176</v>
      </c>
      <c r="X528" s="542"/>
      <c r="Y528" s="542"/>
      <c r="Z528" s="542"/>
    </row>
    <row r="529" spans="1:26" s="71" customFormat="1" ht="14.25" customHeight="1">
      <c r="A529" s="419" t="s">
        <v>38</v>
      </c>
      <c r="B529" s="419" t="s">
        <v>199</v>
      </c>
      <c r="C529" s="419" t="s">
        <v>1028</v>
      </c>
      <c r="D529" s="472" t="s">
        <v>1655</v>
      </c>
      <c r="E529" s="419" t="s">
        <v>1504</v>
      </c>
      <c r="F529" s="419" t="s">
        <v>1708</v>
      </c>
      <c r="G529" s="419" t="s">
        <v>1709</v>
      </c>
      <c r="H529" s="419"/>
      <c r="I529" s="419">
        <v>0</v>
      </c>
      <c r="J529" s="71" t="s">
        <v>44</v>
      </c>
      <c r="K529" s="71" t="s">
        <v>44</v>
      </c>
      <c r="L529" s="419" t="s">
        <v>760</v>
      </c>
      <c r="M529" s="71" t="s">
        <v>45</v>
      </c>
      <c r="N529" s="71">
        <v>24.759551999999999</v>
      </c>
      <c r="O529" s="71">
        <v>97.276591999999994</v>
      </c>
      <c r="P529" s="419" t="s">
        <v>773</v>
      </c>
      <c r="Q529" s="71" t="s">
        <v>762</v>
      </c>
      <c r="R529" s="422"/>
      <c r="S529" s="423"/>
      <c r="T529" s="105">
        <v>42983</v>
      </c>
      <c r="U529" s="424" t="s">
        <v>1029</v>
      </c>
      <c r="V529" s="419" t="s">
        <v>1028</v>
      </c>
      <c r="W529" s="413" t="s">
        <v>2177</v>
      </c>
      <c r="X529" s="542"/>
      <c r="Y529" s="542"/>
      <c r="Z529" s="542"/>
    </row>
    <row r="530" spans="1:26" s="71" customFormat="1" ht="14.25" customHeight="1">
      <c r="A530" s="419" t="s">
        <v>38</v>
      </c>
      <c r="B530" s="419" t="s">
        <v>199</v>
      </c>
      <c r="C530" s="419" t="s">
        <v>205</v>
      </c>
      <c r="D530" s="472" t="s">
        <v>1655</v>
      </c>
      <c r="E530" s="419" t="s">
        <v>1478</v>
      </c>
      <c r="F530" s="419" t="s">
        <v>1669</v>
      </c>
      <c r="G530" s="419" t="s">
        <v>1670</v>
      </c>
      <c r="H530" s="419"/>
      <c r="I530" s="419">
        <v>0</v>
      </c>
      <c r="J530" s="71" t="s">
        <v>44</v>
      </c>
      <c r="K530" s="71" t="s">
        <v>44</v>
      </c>
      <c r="L530" s="419" t="s">
        <v>760</v>
      </c>
      <c r="M530" s="71" t="s">
        <v>45</v>
      </c>
      <c r="N530" s="419">
        <v>24.251860000000001</v>
      </c>
      <c r="O530" s="419">
        <v>97.346940000000004</v>
      </c>
      <c r="P530" s="419" t="s">
        <v>761</v>
      </c>
      <c r="Q530" s="71" t="s">
        <v>780</v>
      </c>
      <c r="R530" s="422"/>
      <c r="S530" s="423"/>
      <c r="T530" s="105"/>
      <c r="U530" s="424" t="s">
        <v>999</v>
      </c>
      <c r="V530" s="419" t="s">
        <v>205</v>
      </c>
      <c r="W530" s="413" t="s">
        <v>2178</v>
      </c>
      <c r="X530" s="542"/>
      <c r="Y530" s="542"/>
      <c r="Z530" s="542"/>
    </row>
    <row r="531" spans="1:26" s="419" customFormat="1" ht="14.25" customHeight="1">
      <c r="A531" s="419" t="s">
        <v>38</v>
      </c>
      <c r="B531" s="419" t="s">
        <v>199</v>
      </c>
      <c r="C531" s="419" t="s">
        <v>207</v>
      </c>
      <c r="D531" s="472" t="s">
        <v>2897</v>
      </c>
      <c r="E531" s="419" t="s">
        <v>1475</v>
      </c>
      <c r="F531" s="419" t="s">
        <v>1669</v>
      </c>
      <c r="G531" s="419" t="s">
        <v>1670</v>
      </c>
      <c r="H531" s="419" t="s">
        <v>42</v>
      </c>
      <c r="I531" s="419" t="s">
        <v>135</v>
      </c>
      <c r="J531" s="419" t="s">
        <v>44</v>
      </c>
      <c r="K531" s="419" t="s">
        <v>44</v>
      </c>
      <c r="L531" s="419" t="s">
        <v>44</v>
      </c>
      <c r="M531" s="419" t="s">
        <v>45</v>
      </c>
      <c r="N531" s="419">
        <v>24.250689999999999</v>
      </c>
      <c r="O531" s="419">
        <v>97.344359999999995</v>
      </c>
      <c r="P531" s="419" t="s">
        <v>761</v>
      </c>
      <c r="Q531" s="419" t="s">
        <v>780</v>
      </c>
      <c r="R531" s="422">
        <v>427</v>
      </c>
      <c r="S531" s="422">
        <v>2006</v>
      </c>
      <c r="T531" s="442"/>
      <c r="U531" s="424"/>
      <c r="V531" s="419" t="s">
        <v>207</v>
      </c>
      <c r="X531" s="542"/>
      <c r="Y531" s="542"/>
      <c r="Z531" s="542"/>
    </row>
    <row r="532" spans="1:26" s="71" customFormat="1" ht="14.25" customHeight="1">
      <c r="A532" s="419" t="s">
        <v>38</v>
      </c>
      <c r="B532" s="419" t="s">
        <v>199</v>
      </c>
      <c r="C532" s="419" t="s">
        <v>1006</v>
      </c>
      <c r="D532" s="472" t="s">
        <v>1655</v>
      </c>
      <c r="E532" s="71" t="s">
        <v>1477</v>
      </c>
      <c r="F532" s="71" t="s">
        <v>1669</v>
      </c>
      <c r="G532" s="71" t="s">
        <v>1699</v>
      </c>
      <c r="H532" s="71" t="s">
        <v>42</v>
      </c>
      <c r="I532" s="419" t="s">
        <v>43</v>
      </c>
      <c r="J532" s="71" t="s">
        <v>44</v>
      </c>
      <c r="K532" s="71" t="s">
        <v>44</v>
      </c>
      <c r="L532" s="71" t="s">
        <v>760</v>
      </c>
      <c r="M532" s="71" t="s">
        <v>45</v>
      </c>
      <c r="N532" s="419">
        <v>24.25177</v>
      </c>
      <c r="O532" s="419">
        <v>97.346950000000007</v>
      </c>
      <c r="P532" s="71" t="s">
        <v>761</v>
      </c>
      <c r="R532" s="422"/>
      <c r="S532" s="423"/>
      <c r="T532" s="105"/>
      <c r="U532" s="101"/>
      <c r="V532" s="71" t="s">
        <v>1006</v>
      </c>
      <c r="W532" s="71" t="s">
        <v>2179</v>
      </c>
      <c r="X532" s="542"/>
      <c r="Y532" s="542"/>
      <c r="Z532" s="542"/>
    </row>
    <row r="533" spans="1:26" s="71" customFormat="1" ht="14.25" customHeight="1">
      <c r="A533" s="427" t="s">
        <v>38</v>
      </c>
      <c r="B533" s="426" t="s">
        <v>199</v>
      </c>
      <c r="C533" s="420" t="s">
        <v>1954</v>
      </c>
      <c r="D533" s="421"/>
      <c r="H533" s="419"/>
      <c r="I533" s="419"/>
      <c r="J533" s="71" t="s">
        <v>1449</v>
      </c>
      <c r="K533" s="71" t="s">
        <v>44</v>
      </c>
      <c r="L533" s="71" t="s">
        <v>44</v>
      </c>
      <c r="M533" s="71" t="s">
        <v>45</v>
      </c>
      <c r="N533" s="419"/>
      <c r="O533" s="419"/>
      <c r="P533" s="71" t="s">
        <v>761</v>
      </c>
      <c r="Q533" s="71" t="s">
        <v>1950</v>
      </c>
      <c r="R533" s="430"/>
      <c r="S533" s="423"/>
      <c r="T533" s="105">
        <v>43270</v>
      </c>
      <c r="U533" s="101"/>
      <c r="W533" s="419"/>
      <c r="X533" s="542"/>
      <c r="Y533" s="542"/>
      <c r="Z533" s="542"/>
    </row>
    <row r="534" spans="1:26" s="71" customFormat="1" ht="14.25" customHeight="1">
      <c r="A534" s="419" t="s">
        <v>38</v>
      </c>
      <c r="B534" s="419" t="s">
        <v>199</v>
      </c>
      <c r="C534" s="419" t="s">
        <v>1004</v>
      </c>
      <c r="D534" s="472" t="s">
        <v>2897</v>
      </c>
      <c r="E534" s="71" t="s">
        <v>1476</v>
      </c>
      <c r="I534" s="419" t="s">
        <v>2142</v>
      </c>
      <c r="J534" s="71" t="s">
        <v>44</v>
      </c>
      <c r="K534" s="71" t="s">
        <v>44</v>
      </c>
      <c r="L534" s="71" t="s">
        <v>772</v>
      </c>
      <c r="M534" s="71" t="s">
        <v>45</v>
      </c>
      <c r="N534" s="71">
        <v>24.251232000000002</v>
      </c>
      <c r="O534" s="71">
        <v>97.348405</v>
      </c>
      <c r="P534" s="71" t="s">
        <v>773</v>
      </c>
      <c r="Q534" s="71" t="s">
        <v>762</v>
      </c>
      <c r="R534" s="422">
        <v>223</v>
      </c>
      <c r="S534" s="422">
        <v>1067</v>
      </c>
      <c r="T534" s="105"/>
      <c r="U534" s="101" t="s">
        <v>996</v>
      </c>
      <c r="V534" s="71" t="s">
        <v>1005</v>
      </c>
      <c r="W534" s="419"/>
      <c r="X534" s="542"/>
      <c r="Y534" s="542"/>
      <c r="Z534" s="542"/>
    </row>
    <row r="535" spans="1:26" s="71" customFormat="1" ht="14.25" customHeight="1">
      <c r="A535" s="419" t="s">
        <v>38</v>
      </c>
      <c r="B535" s="419" t="s">
        <v>199</v>
      </c>
      <c r="C535" s="419" t="s">
        <v>1014</v>
      </c>
      <c r="D535" s="472" t="s">
        <v>2897</v>
      </c>
      <c r="E535" s="71" t="s">
        <v>1492</v>
      </c>
      <c r="F535" s="71" t="s">
        <v>1862</v>
      </c>
      <c r="G535" s="71" t="s">
        <v>1862</v>
      </c>
      <c r="I535" s="419" t="s">
        <v>2142</v>
      </c>
      <c r="J535" s="71" t="s">
        <v>44</v>
      </c>
      <c r="K535" s="71" t="s">
        <v>44</v>
      </c>
      <c r="L535" s="71" t="s">
        <v>772</v>
      </c>
      <c r="M535" s="71" t="s">
        <v>45</v>
      </c>
      <c r="N535" s="419">
        <v>24.404876999999999</v>
      </c>
      <c r="O535" s="419">
        <v>97.407787999999996</v>
      </c>
      <c r="P535" s="71" t="s">
        <v>773</v>
      </c>
      <c r="Q535" s="419" t="s">
        <v>762</v>
      </c>
      <c r="R535" s="422">
        <v>26</v>
      </c>
      <c r="S535" s="422">
        <v>137</v>
      </c>
      <c r="T535" s="442"/>
      <c r="U535" s="101" t="s">
        <v>1015</v>
      </c>
      <c r="V535" s="71" t="s">
        <v>1014</v>
      </c>
      <c r="W535" s="419"/>
      <c r="X535" s="542"/>
      <c r="Y535" s="542"/>
      <c r="Z535" s="542"/>
    </row>
    <row r="536" spans="1:26" s="71" customFormat="1" ht="14.25" customHeight="1">
      <c r="A536" s="419" t="s">
        <v>38</v>
      </c>
      <c r="B536" s="419" t="s">
        <v>199</v>
      </c>
      <c r="C536" s="419" t="s">
        <v>289</v>
      </c>
      <c r="D536" s="472" t="s">
        <v>2897</v>
      </c>
      <c r="E536" s="71" t="s">
        <v>1491</v>
      </c>
      <c r="F536" s="71" t="s">
        <v>1789</v>
      </c>
      <c r="G536" s="71" t="s">
        <v>1790</v>
      </c>
      <c r="H536" s="419" t="s">
        <v>42</v>
      </c>
      <c r="I536" s="419" t="s">
        <v>43</v>
      </c>
      <c r="J536" s="71" t="s">
        <v>44</v>
      </c>
      <c r="K536" s="419" t="s">
        <v>44</v>
      </c>
      <c r="L536" s="419" t="s">
        <v>44</v>
      </c>
      <c r="M536" s="71" t="s">
        <v>778</v>
      </c>
      <c r="N536" s="419">
        <v>24.378167000000001</v>
      </c>
      <c r="O536" s="419">
        <v>97.669366999999994</v>
      </c>
      <c r="P536" s="419" t="s">
        <v>761</v>
      </c>
      <c r="Q536" s="71" t="s">
        <v>762</v>
      </c>
      <c r="R536" s="422">
        <v>354</v>
      </c>
      <c r="S536" s="422">
        <v>1546</v>
      </c>
      <c r="T536" s="105"/>
      <c r="U536" s="101"/>
      <c r="V536" s="71" t="s">
        <v>289</v>
      </c>
      <c r="W536" s="419"/>
      <c r="X536" s="542"/>
      <c r="Y536" s="542"/>
      <c r="Z536" s="542"/>
    </row>
    <row r="537" spans="1:26" s="71" customFormat="1" ht="14.25" customHeight="1">
      <c r="A537" s="419" t="s">
        <v>38</v>
      </c>
      <c r="B537" s="419" t="s">
        <v>199</v>
      </c>
      <c r="C537" s="419" t="s">
        <v>1007</v>
      </c>
      <c r="D537" s="472" t="s">
        <v>1655</v>
      </c>
      <c r="E537" s="71" t="s">
        <v>1480</v>
      </c>
      <c r="F537" s="71" t="s">
        <v>1669</v>
      </c>
      <c r="G537" s="71" t="s">
        <v>1670</v>
      </c>
      <c r="H537" s="71" t="s">
        <v>42</v>
      </c>
      <c r="I537" s="71" t="s">
        <v>236</v>
      </c>
      <c r="J537" s="71" t="s">
        <v>44</v>
      </c>
      <c r="K537" s="419" t="s">
        <v>44</v>
      </c>
      <c r="L537" s="419" t="s">
        <v>760</v>
      </c>
      <c r="M537" s="71" t="s">
        <v>45</v>
      </c>
      <c r="N537" s="71">
        <v>24.253769999999999</v>
      </c>
      <c r="O537" s="71">
        <v>97.347740000000002</v>
      </c>
      <c r="P537" s="419" t="s">
        <v>761</v>
      </c>
      <c r="Q537" s="419"/>
      <c r="R537" s="422"/>
      <c r="S537" s="100"/>
      <c r="T537" s="442"/>
      <c r="U537" s="101"/>
      <c r="V537" s="71" t="s">
        <v>1007</v>
      </c>
      <c r="W537" s="413" t="s">
        <v>2180</v>
      </c>
      <c r="X537" s="542"/>
      <c r="Y537" s="542"/>
      <c r="Z537" s="542"/>
    </row>
    <row r="538" spans="1:26" s="71" customFormat="1" ht="14.25" customHeight="1">
      <c r="A538" s="419" t="s">
        <v>38</v>
      </c>
      <c r="B538" s="419" t="s">
        <v>199</v>
      </c>
      <c r="C538" s="419" t="s">
        <v>278</v>
      </c>
      <c r="D538" s="472" t="s">
        <v>2897</v>
      </c>
      <c r="E538" s="71" t="s">
        <v>1467</v>
      </c>
      <c r="F538" s="71" t="s">
        <v>1774</v>
      </c>
      <c r="G538" s="71" t="s">
        <v>1775</v>
      </c>
      <c r="H538" s="71" t="s">
        <v>42</v>
      </c>
      <c r="I538" s="419" t="s">
        <v>135</v>
      </c>
      <c r="J538" s="71" t="s">
        <v>44</v>
      </c>
      <c r="K538" s="419" t="s">
        <v>44</v>
      </c>
      <c r="L538" s="419" t="s">
        <v>44</v>
      </c>
      <c r="M538" s="71" t="s">
        <v>45</v>
      </c>
      <c r="N538" s="71">
        <v>24.205417000000001</v>
      </c>
      <c r="O538" s="71">
        <v>97.724483000000006</v>
      </c>
      <c r="P538" s="71" t="s">
        <v>761</v>
      </c>
      <c r="Q538" s="71" t="s">
        <v>780</v>
      </c>
      <c r="R538" s="422">
        <v>49</v>
      </c>
      <c r="S538" s="422">
        <v>300</v>
      </c>
      <c r="T538" s="105"/>
      <c r="U538" s="101"/>
      <c r="V538" s="71" t="s">
        <v>278</v>
      </c>
      <c r="W538" s="419"/>
      <c r="X538" s="542"/>
      <c r="Y538" s="542"/>
      <c r="Z538" s="542"/>
    </row>
    <row r="539" spans="1:26" s="71" customFormat="1" ht="14.25" customHeight="1">
      <c r="A539" s="419" t="s">
        <v>38</v>
      </c>
      <c r="B539" s="419" t="s">
        <v>199</v>
      </c>
      <c r="C539" s="419" t="s">
        <v>290</v>
      </c>
      <c r="D539" s="472" t="s">
        <v>2897</v>
      </c>
      <c r="E539" s="71" t="s">
        <v>1487</v>
      </c>
      <c r="F539" s="71" t="s">
        <v>1786</v>
      </c>
      <c r="G539" s="71" t="s">
        <v>1787</v>
      </c>
      <c r="H539" s="419" t="s">
        <v>42</v>
      </c>
      <c r="I539" s="419" t="s">
        <v>43</v>
      </c>
      <c r="J539" s="71" t="s">
        <v>44</v>
      </c>
      <c r="K539" s="419" t="s">
        <v>44</v>
      </c>
      <c r="L539" s="419" t="s">
        <v>44</v>
      </c>
      <c r="M539" s="71" t="s">
        <v>778</v>
      </c>
      <c r="N539" s="419">
        <v>24.2744</v>
      </c>
      <c r="O539" s="419">
        <v>97.752667000000002</v>
      </c>
      <c r="P539" s="419" t="s">
        <v>761</v>
      </c>
      <c r="Q539" s="71" t="s">
        <v>762</v>
      </c>
      <c r="R539" s="422">
        <v>632</v>
      </c>
      <c r="S539" s="422">
        <v>3550</v>
      </c>
      <c r="T539" s="105"/>
      <c r="U539" s="101"/>
      <c r="V539" s="71" t="s">
        <v>290</v>
      </c>
      <c r="W539" s="419"/>
      <c r="X539" s="542"/>
      <c r="Y539" s="542"/>
      <c r="Z539" s="542"/>
    </row>
    <row r="540" spans="1:26" s="71" customFormat="1" ht="14.25" customHeight="1">
      <c r="A540" s="419" t="s">
        <v>38</v>
      </c>
      <c r="B540" s="419" t="s">
        <v>199</v>
      </c>
      <c r="C540" s="419" t="s">
        <v>1128</v>
      </c>
      <c r="D540" s="472" t="s">
        <v>1654</v>
      </c>
      <c r="H540" s="419"/>
      <c r="J540" s="71" t="s">
        <v>44</v>
      </c>
      <c r="K540" s="419" t="s">
        <v>44</v>
      </c>
      <c r="L540" s="419" t="s">
        <v>1087</v>
      </c>
      <c r="M540" s="71" t="s">
        <v>778</v>
      </c>
      <c r="N540" s="419"/>
      <c r="O540" s="419"/>
      <c r="P540" s="71" t="s">
        <v>761</v>
      </c>
      <c r="R540" s="422"/>
      <c r="S540" s="423"/>
      <c r="T540" s="105"/>
      <c r="U540" s="101"/>
      <c r="V540" s="71" t="s">
        <v>1128</v>
      </c>
      <c r="X540" s="542"/>
      <c r="Y540" s="542"/>
      <c r="Z540" s="542"/>
    </row>
    <row r="541" spans="1:26" s="71" customFormat="1" ht="14.25" customHeight="1">
      <c r="A541" s="419" t="s">
        <v>38</v>
      </c>
      <c r="B541" s="419" t="s">
        <v>199</v>
      </c>
      <c r="C541" s="419" t="s">
        <v>1129</v>
      </c>
      <c r="D541" s="472" t="s">
        <v>1654</v>
      </c>
      <c r="J541" s="71" t="s">
        <v>44</v>
      </c>
      <c r="K541" s="419" t="s">
        <v>44</v>
      </c>
      <c r="L541" s="419" t="s">
        <v>1087</v>
      </c>
      <c r="M541" s="71" t="s">
        <v>778</v>
      </c>
      <c r="P541" s="419" t="s">
        <v>761</v>
      </c>
      <c r="R541" s="422"/>
      <c r="S541" s="423"/>
      <c r="T541" s="105"/>
      <c r="U541" s="424"/>
      <c r="V541" s="71" t="s">
        <v>1129</v>
      </c>
      <c r="W541" s="419"/>
      <c r="X541" s="542"/>
      <c r="Y541" s="542"/>
      <c r="Z541" s="542"/>
    </row>
    <row r="542" spans="1:26" s="71" customFormat="1" ht="14.25" customHeight="1">
      <c r="A542" s="419" t="s">
        <v>38</v>
      </c>
      <c r="B542" s="419" t="s">
        <v>199</v>
      </c>
      <c r="C542" s="419" t="s">
        <v>1130</v>
      </c>
      <c r="D542" s="472" t="s">
        <v>1654</v>
      </c>
      <c r="J542" s="71" t="s">
        <v>1099</v>
      </c>
      <c r="K542" s="419" t="s">
        <v>44</v>
      </c>
      <c r="L542" s="419" t="s">
        <v>760</v>
      </c>
      <c r="M542" s="71" t="s">
        <v>778</v>
      </c>
      <c r="N542" s="419"/>
      <c r="O542" s="419"/>
      <c r="P542" s="71" t="s">
        <v>761</v>
      </c>
      <c r="R542" s="422"/>
      <c r="S542" s="423"/>
      <c r="T542" s="105"/>
      <c r="U542" s="101"/>
      <c r="V542" s="71" t="s">
        <v>1130</v>
      </c>
      <c r="W542" s="419"/>
      <c r="X542" s="542"/>
      <c r="Y542" s="542"/>
      <c r="Z542" s="542"/>
    </row>
    <row r="543" spans="1:26" s="71" customFormat="1" ht="14.25" customHeight="1">
      <c r="A543" s="420" t="s">
        <v>38</v>
      </c>
      <c r="B543" s="420" t="s">
        <v>199</v>
      </c>
      <c r="C543" s="420" t="s">
        <v>1131</v>
      </c>
      <c r="D543" s="474" t="s">
        <v>1654</v>
      </c>
      <c r="E543" s="420"/>
      <c r="F543" s="420"/>
      <c r="G543" s="420"/>
      <c r="H543" s="420"/>
      <c r="I543" s="420"/>
      <c r="J543" s="420" t="s">
        <v>1099</v>
      </c>
      <c r="K543" s="420" t="s">
        <v>44</v>
      </c>
      <c r="L543" s="420" t="s">
        <v>760</v>
      </c>
      <c r="M543" s="420" t="s">
        <v>778</v>
      </c>
      <c r="N543" s="420"/>
      <c r="O543" s="420"/>
      <c r="P543" s="71" t="s">
        <v>761</v>
      </c>
      <c r="Q543" s="420"/>
      <c r="R543" s="426"/>
      <c r="S543" s="427"/>
      <c r="T543" s="443"/>
      <c r="U543" s="428"/>
      <c r="V543" s="420" t="s">
        <v>1131</v>
      </c>
      <c r="W543" s="419"/>
      <c r="X543" s="542"/>
      <c r="Y543" s="542"/>
      <c r="Z543" s="542"/>
    </row>
    <row r="544" spans="1:26" s="71" customFormat="1" ht="14.25" customHeight="1">
      <c r="A544" s="419" t="s">
        <v>38</v>
      </c>
      <c r="B544" s="419" t="s">
        <v>199</v>
      </c>
      <c r="C544" s="419" t="s">
        <v>1132</v>
      </c>
      <c r="D544" s="472" t="s">
        <v>1654</v>
      </c>
      <c r="I544" s="419"/>
      <c r="J544" s="71" t="s">
        <v>798</v>
      </c>
      <c r="K544" s="419" t="s">
        <v>798</v>
      </c>
      <c r="L544" s="419" t="s">
        <v>798</v>
      </c>
      <c r="M544" s="71" t="s">
        <v>778</v>
      </c>
      <c r="P544" s="419" t="s">
        <v>799</v>
      </c>
      <c r="R544" s="422"/>
      <c r="S544" s="423"/>
      <c r="T544" s="105"/>
      <c r="U544" s="101"/>
      <c r="V544" s="71" t="s">
        <v>1132</v>
      </c>
      <c r="W544" s="419"/>
      <c r="X544" s="542"/>
      <c r="Y544" s="542"/>
      <c r="Z544" s="542"/>
    </row>
    <row r="545" spans="1:26" s="71" customFormat="1" ht="14.25" customHeight="1">
      <c r="A545" s="419" t="s">
        <v>38</v>
      </c>
      <c r="B545" s="419" t="s">
        <v>199</v>
      </c>
      <c r="C545" s="419" t="s">
        <v>1133</v>
      </c>
      <c r="D545" s="472" t="s">
        <v>1654</v>
      </c>
      <c r="H545" s="419"/>
      <c r="J545" s="71" t="s">
        <v>1099</v>
      </c>
      <c r="K545" s="419" t="s">
        <v>44</v>
      </c>
      <c r="L545" s="419" t="s">
        <v>760</v>
      </c>
      <c r="M545" s="71" t="s">
        <v>778</v>
      </c>
      <c r="N545" s="419"/>
      <c r="O545" s="419"/>
      <c r="P545" s="419" t="s">
        <v>761</v>
      </c>
      <c r="R545" s="422"/>
      <c r="S545" s="423"/>
      <c r="T545" s="105"/>
      <c r="U545" s="101"/>
      <c r="V545" s="419" t="s">
        <v>1133</v>
      </c>
      <c r="X545" s="542"/>
      <c r="Y545" s="542"/>
      <c r="Z545" s="542"/>
    </row>
    <row r="546" spans="1:26" s="71" customFormat="1" ht="14.25" customHeight="1">
      <c r="A546" s="419" t="s">
        <v>38</v>
      </c>
      <c r="B546" s="419" t="s">
        <v>199</v>
      </c>
      <c r="C546" s="419" t="s">
        <v>1023</v>
      </c>
      <c r="D546" s="472" t="s">
        <v>1655</v>
      </c>
      <c r="E546" s="71" t="s">
        <v>1498</v>
      </c>
      <c r="F546" s="71" t="s">
        <v>1705</v>
      </c>
      <c r="G546" s="71" t="s">
        <v>1706</v>
      </c>
      <c r="I546" s="71">
        <v>0</v>
      </c>
      <c r="J546" s="71" t="s">
        <v>44</v>
      </c>
      <c r="K546" s="419" t="s">
        <v>44</v>
      </c>
      <c r="L546" s="419" t="s">
        <v>760</v>
      </c>
      <c r="M546" s="71" t="s">
        <v>45</v>
      </c>
      <c r="N546" s="71">
        <v>24.630859999999998</v>
      </c>
      <c r="O546" s="71">
        <v>97.429860000000005</v>
      </c>
      <c r="P546" s="71" t="s">
        <v>773</v>
      </c>
      <c r="Q546" s="71" t="s">
        <v>762</v>
      </c>
      <c r="R546" s="422"/>
      <c r="S546" s="100"/>
      <c r="T546" s="105">
        <v>42983</v>
      </c>
      <c r="U546" s="101" t="s">
        <v>1024</v>
      </c>
      <c r="V546" s="419" t="s">
        <v>1023</v>
      </c>
      <c r="W546" s="413" t="s">
        <v>2181</v>
      </c>
      <c r="X546" s="542"/>
      <c r="Y546" s="542"/>
      <c r="Z546" s="542"/>
    </row>
    <row r="547" spans="1:26" s="71" customFormat="1" ht="14.25" customHeight="1">
      <c r="A547" s="419" t="s">
        <v>38</v>
      </c>
      <c r="B547" s="420" t="s">
        <v>199</v>
      </c>
      <c r="C547" s="420" t="s">
        <v>280</v>
      </c>
      <c r="D547" s="472" t="s">
        <v>2897</v>
      </c>
      <c r="E547" s="71" t="s">
        <v>1469</v>
      </c>
      <c r="F547" s="71" t="s">
        <v>1774</v>
      </c>
      <c r="G547" s="71" t="s">
        <v>1777</v>
      </c>
      <c r="H547" s="419" t="s">
        <v>42</v>
      </c>
      <c r="I547" s="419" t="s">
        <v>135</v>
      </c>
      <c r="J547" s="71" t="s">
        <v>44</v>
      </c>
      <c r="K547" s="419" t="s">
        <v>44</v>
      </c>
      <c r="L547" s="419" t="s">
        <v>44</v>
      </c>
      <c r="M547" s="71" t="s">
        <v>45</v>
      </c>
      <c r="N547" s="419">
        <v>24.207332999999998</v>
      </c>
      <c r="O547" s="419">
        <v>97.710864000000001</v>
      </c>
      <c r="P547" s="419" t="s">
        <v>761</v>
      </c>
      <c r="Q547" s="71" t="s">
        <v>780</v>
      </c>
      <c r="R547" s="422">
        <v>44</v>
      </c>
      <c r="S547" s="422">
        <v>276</v>
      </c>
      <c r="T547" s="105"/>
      <c r="U547" s="424"/>
      <c r="V547" s="419" t="s">
        <v>280</v>
      </c>
      <c r="W547" s="419"/>
      <c r="X547" s="542"/>
      <c r="Y547" s="542"/>
      <c r="Z547" s="542"/>
    </row>
    <row r="548" spans="1:26" s="71" customFormat="1" ht="14.25" customHeight="1">
      <c r="A548" s="419" t="s">
        <v>38</v>
      </c>
      <c r="B548" s="420" t="s">
        <v>199</v>
      </c>
      <c r="C548" s="420" t="s">
        <v>1020</v>
      </c>
      <c r="D548" s="472" t="s">
        <v>1655</v>
      </c>
      <c r="E548" s="71" t="s">
        <v>1496</v>
      </c>
      <c r="F548" s="71" t="s">
        <v>1702</v>
      </c>
      <c r="G548" s="71" t="s">
        <v>1702</v>
      </c>
      <c r="I548" s="419">
        <v>0</v>
      </c>
      <c r="J548" s="71" t="s">
        <v>44</v>
      </c>
      <c r="K548" s="71" t="s">
        <v>44</v>
      </c>
      <c r="L548" s="419" t="s">
        <v>760</v>
      </c>
      <c r="M548" s="71" t="s">
        <v>45</v>
      </c>
      <c r="N548" s="419">
        <v>24.492493</v>
      </c>
      <c r="O548" s="419">
        <v>97.416826999999998</v>
      </c>
      <c r="P548" s="419" t="s">
        <v>773</v>
      </c>
      <c r="Q548" s="71" t="s">
        <v>762</v>
      </c>
      <c r="R548" s="422"/>
      <c r="S548" s="423"/>
      <c r="T548" s="105">
        <v>42983</v>
      </c>
      <c r="U548" s="101" t="s">
        <v>1017</v>
      </c>
      <c r="V548" s="419" t="s">
        <v>1020</v>
      </c>
      <c r="W548" s="413" t="s">
        <v>2182</v>
      </c>
      <c r="X548" s="542"/>
      <c r="Y548" s="542"/>
      <c r="Z548" s="542"/>
    </row>
    <row r="549" spans="1:26" s="71" customFormat="1" ht="14.25" customHeight="1">
      <c r="A549" s="419" t="s">
        <v>38</v>
      </c>
      <c r="B549" s="419" t="s">
        <v>153</v>
      </c>
      <c r="C549" s="419" t="s">
        <v>1088</v>
      </c>
      <c r="D549" s="472" t="s">
        <v>1655</v>
      </c>
      <c r="E549" s="419" t="s">
        <v>1978</v>
      </c>
      <c r="F549" s="71" t="s">
        <v>1715</v>
      </c>
      <c r="G549" s="71" t="s">
        <v>1730</v>
      </c>
      <c r="H549" s="419"/>
      <c r="I549" s="419" t="s">
        <v>2142</v>
      </c>
      <c r="J549" s="419" t="s">
        <v>44</v>
      </c>
      <c r="K549" s="419" t="s">
        <v>44</v>
      </c>
      <c r="L549" s="419" t="s">
        <v>760</v>
      </c>
      <c r="M549" s="419" t="s">
        <v>45</v>
      </c>
      <c r="N549" s="419"/>
      <c r="O549" s="419"/>
      <c r="P549" s="419" t="s">
        <v>761</v>
      </c>
      <c r="Q549" s="419" t="s">
        <v>926</v>
      </c>
      <c r="R549" s="422"/>
      <c r="S549" s="423"/>
      <c r="T549" s="442"/>
      <c r="U549" s="424" t="s">
        <v>1089</v>
      </c>
      <c r="V549" s="419"/>
      <c r="W549" s="71" t="s">
        <v>2183</v>
      </c>
      <c r="X549" s="542"/>
      <c r="Y549" s="542"/>
      <c r="Z549" s="542"/>
    </row>
    <row r="550" spans="1:26" s="71" customFormat="1" ht="14.25" customHeight="1">
      <c r="A550" s="423" t="s">
        <v>38</v>
      </c>
      <c r="B550" s="426" t="s">
        <v>153</v>
      </c>
      <c r="C550" s="427" t="s">
        <v>2037</v>
      </c>
      <c r="D550" s="421"/>
      <c r="E550" s="419"/>
      <c r="F550" s="419"/>
      <c r="G550" s="419"/>
      <c r="H550" s="419"/>
      <c r="I550" s="419"/>
      <c r="J550" s="419" t="s">
        <v>1449</v>
      </c>
      <c r="K550" s="420" t="s">
        <v>44</v>
      </c>
      <c r="L550" s="420" t="s">
        <v>776</v>
      </c>
      <c r="M550" s="419" t="s">
        <v>778</v>
      </c>
      <c r="N550" s="419"/>
      <c r="O550" s="419"/>
      <c r="P550" s="419" t="s">
        <v>761</v>
      </c>
      <c r="Q550" s="419"/>
      <c r="R550" s="430"/>
      <c r="S550" s="423"/>
      <c r="T550" s="442">
        <v>43298</v>
      </c>
      <c r="U550" s="424"/>
      <c r="V550" s="419"/>
      <c r="X550" s="542"/>
      <c r="Y550" s="542"/>
      <c r="Z550" s="542"/>
    </row>
    <row r="551" spans="1:26" s="71" customFormat="1" ht="14.25" customHeight="1">
      <c r="A551" s="419" t="s">
        <v>38</v>
      </c>
      <c r="B551" s="419" t="s">
        <v>153</v>
      </c>
      <c r="C551" s="419" t="s">
        <v>154</v>
      </c>
      <c r="D551" s="472" t="s">
        <v>2897</v>
      </c>
      <c r="E551" s="71" t="s">
        <v>1542</v>
      </c>
      <c r="F551" s="71" t="s">
        <v>1715</v>
      </c>
      <c r="G551" s="71" t="s">
        <v>1817</v>
      </c>
      <c r="H551" s="71" t="s">
        <v>42</v>
      </c>
      <c r="I551" s="419" t="s">
        <v>135</v>
      </c>
      <c r="J551" s="71" t="s">
        <v>44</v>
      </c>
      <c r="K551" s="419" t="s">
        <v>44</v>
      </c>
      <c r="L551" s="419" t="s">
        <v>44</v>
      </c>
      <c r="M551" s="71" t="s">
        <v>45</v>
      </c>
      <c r="N551" s="419">
        <v>25.395974089999999</v>
      </c>
      <c r="O551" s="419">
        <v>97.382997579999994</v>
      </c>
      <c r="P551" s="419" t="s">
        <v>761</v>
      </c>
      <c r="Q551" s="71" t="s">
        <v>780</v>
      </c>
      <c r="R551" s="422">
        <v>44</v>
      </c>
      <c r="S551" s="422">
        <v>197</v>
      </c>
      <c r="T551" s="105">
        <v>42983</v>
      </c>
      <c r="U551" s="424" t="s">
        <v>1051</v>
      </c>
      <c r="V551" s="419" t="s">
        <v>1052</v>
      </c>
      <c r="W551" s="419"/>
      <c r="X551" s="542"/>
      <c r="Y551" s="542"/>
      <c r="Z551" s="542"/>
    </row>
    <row r="552" spans="1:26" s="71" customFormat="1" ht="14.25" customHeight="1">
      <c r="A552" s="419" t="s">
        <v>38</v>
      </c>
      <c r="B552" s="419" t="s">
        <v>153</v>
      </c>
      <c r="C552" s="419" t="s">
        <v>1054</v>
      </c>
      <c r="D552" s="472" t="s">
        <v>1654</v>
      </c>
      <c r="E552" s="419" t="s">
        <v>1544</v>
      </c>
      <c r="H552" s="419"/>
      <c r="I552" s="419"/>
      <c r="J552" s="419" t="s">
        <v>44</v>
      </c>
      <c r="K552" s="419" t="s">
        <v>44</v>
      </c>
      <c r="L552" s="419" t="s">
        <v>760</v>
      </c>
      <c r="M552" s="419" t="s">
        <v>45</v>
      </c>
      <c r="N552" s="419">
        <v>25.400270190000001</v>
      </c>
      <c r="O552" s="419">
        <v>97.384729629999995</v>
      </c>
      <c r="P552" s="71" t="s">
        <v>761</v>
      </c>
      <c r="Q552" s="419" t="s">
        <v>780</v>
      </c>
      <c r="R552" s="422"/>
      <c r="S552" s="423"/>
      <c r="T552" s="442"/>
      <c r="U552" s="424" t="s">
        <v>1051</v>
      </c>
      <c r="V552" s="71" t="s">
        <v>1054</v>
      </c>
      <c r="W552" s="419"/>
      <c r="X552" s="542"/>
      <c r="Y552" s="542"/>
      <c r="Z552" s="542"/>
    </row>
    <row r="553" spans="1:26" s="71" customFormat="1" ht="14.25" customHeight="1">
      <c r="A553" s="419" t="s">
        <v>38</v>
      </c>
      <c r="B553" s="419" t="s">
        <v>153</v>
      </c>
      <c r="C553" s="419" t="s">
        <v>1052</v>
      </c>
      <c r="D553" s="472" t="s">
        <v>1654</v>
      </c>
      <c r="E553" s="419"/>
      <c r="F553" s="419"/>
      <c r="G553" s="419"/>
      <c r="H553" s="419"/>
      <c r="I553" s="419"/>
      <c r="J553" s="419" t="s">
        <v>44</v>
      </c>
      <c r="K553" s="419" t="s">
        <v>44</v>
      </c>
      <c r="L553" s="419" t="s">
        <v>760</v>
      </c>
      <c r="M553" s="419" t="s">
        <v>45</v>
      </c>
      <c r="N553" s="419">
        <v>25.395974089999999</v>
      </c>
      <c r="O553" s="419">
        <v>97.382997579999994</v>
      </c>
      <c r="P553" s="419" t="s">
        <v>761</v>
      </c>
      <c r="Q553" s="419" t="s">
        <v>780</v>
      </c>
      <c r="R553" s="422"/>
      <c r="S553" s="423"/>
      <c r="T553" s="442"/>
      <c r="U553" s="424"/>
      <c r="V553" s="419" t="s">
        <v>1052</v>
      </c>
      <c r="X553" s="542"/>
      <c r="Y553" s="542"/>
      <c r="Z553" s="542"/>
    </row>
    <row r="554" spans="1:26" s="71" customFormat="1" ht="14.25" customHeight="1">
      <c r="A554" s="419" t="s">
        <v>38</v>
      </c>
      <c r="B554" s="419" t="s">
        <v>153</v>
      </c>
      <c r="C554" s="419" t="s">
        <v>1053</v>
      </c>
      <c r="D554" s="472" t="s">
        <v>1654</v>
      </c>
      <c r="E554" s="419" t="s">
        <v>1543</v>
      </c>
      <c r="F554" s="419"/>
      <c r="G554" s="419"/>
      <c r="H554" s="419"/>
      <c r="I554" s="419"/>
      <c r="J554" s="419" t="s">
        <v>44</v>
      </c>
      <c r="K554" s="419" t="s">
        <v>44</v>
      </c>
      <c r="L554" s="419" t="s">
        <v>760</v>
      </c>
      <c r="M554" s="419" t="s">
        <v>45</v>
      </c>
      <c r="N554" s="419">
        <v>25.396492500000001</v>
      </c>
      <c r="O554" s="419">
        <v>97.381325000000004</v>
      </c>
      <c r="P554" s="419" t="s">
        <v>761</v>
      </c>
      <c r="Q554" s="419" t="s">
        <v>780</v>
      </c>
      <c r="R554" s="422"/>
      <c r="S554" s="423"/>
      <c r="T554" s="442"/>
      <c r="U554" s="424" t="s">
        <v>1051</v>
      </c>
      <c r="V554" s="419" t="s">
        <v>1053</v>
      </c>
      <c r="W554" s="419"/>
      <c r="X554" s="542"/>
      <c r="Y554" s="542"/>
      <c r="Z554" s="542"/>
    </row>
    <row r="555" spans="1:26" s="71" customFormat="1" ht="14.25" customHeight="1">
      <c r="A555" s="419" t="s">
        <v>38</v>
      </c>
      <c r="B555" s="419" t="s">
        <v>153</v>
      </c>
      <c r="C555" s="419" t="s">
        <v>155</v>
      </c>
      <c r="D555" s="472" t="s">
        <v>2897</v>
      </c>
      <c r="E555" s="71" t="s">
        <v>1546</v>
      </c>
      <c r="F555" s="71" t="s">
        <v>1715</v>
      </c>
      <c r="G555" s="71" t="s">
        <v>1818</v>
      </c>
      <c r="H555" s="71" t="s">
        <v>42</v>
      </c>
      <c r="I555" s="419" t="s">
        <v>135</v>
      </c>
      <c r="J555" s="71" t="s">
        <v>44</v>
      </c>
      <c r="K555" s="419" t="s">
        <v>44</v>
      </c>
      <c r="L555" s="419" t="s">
        <v>44</v>
      </c>
      <c r="M555" s="71" t="s">
        <v>45</v>
      </c>
      <c r="N555" s="419">
        <v>25.403476999999999</v>
      </c>
      <c r="O555" s="419">
        <v>97.373361000000003</v>
      </c>
      <c r="P555" s="71" t="s">
        <v>761</v>
      </c>
      <c r="Q555" s="71" t="s">
        <v>780</v>
      </c>
      <c r="R555" s="422">
        <v>199</v>
      </c>
      <c r="S555" s="422">
        <v>1131</v>
      </c>
      <c r="T555" s="105"/>
      <c r="U555" s="424"/>
      <c r="V555" s="71" t="s">
        <v>155</v>
      </c>
      <c r="W555" s="419"/>
      <c r="X555" s="542"/>
      <c r="Y555" s="542"/>
      <c r="Z555" s="542"/>
    </row>
    <row r="556" spans="1:26" s="71" customFormat="1" ht="14.25" customHeight="1">
      <c r="A556" s="419" t="s">
        <v>38</v>
      </c>
      <c r="B556" s="419" t="s">
        <v>153</v>
      </c>
      <c r="C556" s="419" t="s">
        <v>227</v>
      </c>
      <c r="D556" s="472" t="s">
        <v>2897</v>
      </c>
      <c r="E556" s="71" t="s">
        <v>1545</v>
      </c>
      <c r="F556" s="71" t="s">
        <v>1715</v>
      </c>
      <c r="G556" s="71" t="s">
        <v>1818</v>
      </c>
      <c r="H556" s="71" t="s">
        <v>42</v>
      </c>
      <c r="I556" s="71" t="s">
        <v>1314</v>
      </c>
      <c r="J556" s="71" t="s">
        <v>44</v>
      </c>
      <c r="K556" s="71" t="s">
        <v>44</v>
      </c>
      <c r="L556" s="419" t="s">
        <v>44</v>
      </c>
      <c r="M556" s="71" t="s">
        <v>45</v>
      </c>
      <c r="N556" s="419">
        <v>25.401061110000001</v>
      </c>
      <c r="O556" s="419">
        <v>97.379594999999995</v>
      </c>
      <c r="P556" s="71" t="s">
        <v>761</v>
      </c>
      <c r="Q556" s="71" t="s">
        <v>780</v>
      </c>
      <c r="R556" s="422">
        <v>100</v>
      </c>
      <c r="S556" s="422">
        <v>485</v>
      </c>
      <c r="T556" s="105"/>
      <c r="U556" s="424"/>
      <c r="V556" s="71" t="s">
        <v>227</v>
      </c>
      <c r="W556" s="419"/>
      <c r="X556" s="542"/>
      <c r="Y556" s="542"/>
      <c r="Z556" s="542"/>
    </row>
    <row r="557" spans="1:26" s="71" customFormat="1" ht="14.25" customHeight="1">
      <c r="A557" s="427" t="s">
        <v>38</v>
      </c>
      <c r="B557" s="426" t="s">
        <v>153</v>
      </c>
      <c r="C557" s="420" t="s">
        <v>2127</v>
      </c>
      <c r="D557" s="472" t="s">
        <v>2897</v>
      </c>
      <c r="E557" s="71" t="s">
        <v>1975</v>
      </c>
      <c r="H557" s="419"/>
      <c r="I557" s="71" t="s">
        <v>135</v>
      </c>
      <c r="J557" s="71" t="s">
        <v>44</v>
      </c>
      <c r="K557" s="71" t="s">
        <v>44</v>
      </c>
      <c r="L557" s="419" t="s">
        <v>44</v>
      </c>
      <c r="M557" s="71" t="s">
        <v>45</v>
      </c>
      <c r="N557" s="419"/>
      <c r="O557" s="419"/>
      <c r="P557" s="420" t="s">
        <v>761</v>
      </c>
      <c r="Q557" s="71" t="s">
        <v>1950</v>
      </c>
      <c r="R557" s="422">
        <v>140</v>
      </c>
      <c r="S557" s="422">
        <v>620</v>
      </c>
      <c r="T557" s="105">
        <v>43276</v>
      </c>
      <c r="U557" s="101" t="s">
        <v>2000</v>
      </c>
      <c r="W557" s="413" t="s">
        <v>2280</v>
      </c>
      <c r="X557" s="542"/>
      <c r="Y557" s="542"/>
      <c r="Z557" s="542"/>
    </row>
    <row r="558" spans="1:26" s="71" customFormat="1" ht="14.25" customHeight="1">
      <c r="A558" s="427" t="s">
        <v>38</v>
      </c>
      <c r="B558" s="426" t="s">
        <v>153</v>
      </c>
      <c r="C558" s="420" t="s">
        <v>1957</v>
      </c>
      <c r="D558" s="421"/>
      <c r="E558" s="419"/>
      <c r="F558" s="419"/>
      <c r="G558" s="419"/>
      <c r="H558" s="419"/>
      <c r="I558" s="419"/>
      <c r="J558" s="419" t="s">
        <v>1449</v>
      </c>
      <c r="K558" s="419" t="s">
        <v>44</v>
      </c>
      <c r="L558" s="419" t="s">
        <v>44</v>
      </c>
      <c r="M558" s="419" t="s">
        <v>45</v>
      </c>
      <c r="N558" s="419"/>
      <c r="O558" s="419"/>
      <c r="P558" s="419" t="s">
        <v>761</v>
      </c>
      <c r="Q558" s="419" t="s">
        <v>1950</v>
      </c>
      <c r="R558" s="430"/>
      <c r="S558" s="423"/>
      <c r="T558" s="442">
        <v>43270</v>
      </c>
      <c r="U558" s="424"/>
      <c r="V558" s="419"/>
      <c r="W558" s="419"/>
      <c r="X558" s="542"/>
      <c r="Y558" s="542"/>
      <c r="Z558" s="542"/>
    </row>
    <row r="559" spans="1:26" s="71" customFormat="1" ht="14.25" customHeight="1">
      <c r="A559" s="419" t="s">
        <v>38</v>
      </c>
      <c r="B559" s="419" t="s">
        <v>153</v>
      </c>
      <c r="C559" s="419" t="s">
        <v>1102</v>
      </c>
      <c r="D559" s="472" t="s">
        <v>2897</v>
      </c>
      <c r="E559" s="71" t="s">
        <v>1963</v>
      </c>
      <c r="F559" s="71" t="s">
        <v>1715</v>
      </c>
      <c r="G559" s="71" t="s">
        <v>1871</v>
      </c>
      <c r="I559" s="71" t="s">
        <v>1314</v>
      </c>
      <c r="J559" s="71" t="s">
        <v>44</v>
      </c>
      <c r="K559" s="71" t="s">
        <v>44</v>
      </c>
      <c r="L559" s="420" t="s">
        <v>44</v>
      </c>
      <c r="M559" s="71" t="s">
        <v>45</v>
      </c>
      <c r="N559" s="419"/>
      <c r="O559" s="419"/>
      <c r="P559" s="71" t="s">
        <v>761</v>
      </c>
      <c r="Q559" s="71" t="s">
        <v>926</v>
      </c>
      <c r="R559" s="422">
        <v>14</v>
      </c>
      <c r="S559" s="422">
        <v>40</v>
      </c>
      <c r="T559" s="105">
        <v>42983</v>
      </c>
      <c r="U559" s="101" t="s">
        <v>1103</v>
      </c>
      <c r="W559" s="413" t="s">
        <v>2281</v>
      </c>
      <c r="X559" s="542"/>
      <c r="Y559" s="542"/>
      <c r="Z559" s="542"/>
    </row>
    <row r="560" spans="1:26" s="71" customFormat="1" ht="14.25" customHeight="1">
      <c r="A560" s="419" t="s">
        <v>38</v>
      </c>
      <c r="B560" s="419" t="s">
        <v>153</v>
      </c>
      <c r="C560" s="419" t="s">
        <v>156</v>
      </c>
      <c r="D560" s="472" t="s">
        <v>2722</v>
      </c>
      <c r="E560" s="419" t="s">
        <v>1537</v>
      </c>
      <c r="F560" s="419" t="s">
        <v>1715</v>
      </c>
      <c r="G560" s="419" t="s">
        <v>1815</v>
      </c>
      <c r="H560" s="419" t="s">
        <v>42</v>
      </c>
      <c r="I560" s="419" t="s">
        <v>135</v>
      </c>
      <c r="J560" s="419" t="s">
        <v>44</v>
      </c>
      <c r="K560" s="419" t="s">
        <v>44</v>
      </c>
      <c r="L560" s="419" t="s">
        <v>760</v>
      </c>
      <c r="M560" s="419" t="s">
        <v>45</v>
      </c>
      <c r="N560" s="419">
        <v>25.36600361</v>
      </c>
      <c r="O560" s="419">
        <v>97.405202779999996</v>
      </c>
      <c r="P560" s="419" t="s">
        <v>761</v>
      </c>
      <c r="Q560" s="419" t="s">
        <v>780</v>
      </c>
      <c r="R560" s="422"/>
      <c r="S560" s="422"/>
      <c r="T560" s="442"/>
      <c r="U560" s="424"/>
      <c r="V560" s="419" t="s">
        <v>156</v>
      </c>
      <c r="W560" s="419"/>
      <c r="X560" s="542"/>
      <c r="Y560" s="542"/>
      <c r="Z560" s="542"/>
    </row>
    <row r="561" spans="1:26" s="71" customFormat="1" ht="14.25" customHeight="1">
      <c r="A561" s="427" t="s">
        <v>38</v>
      </c>
      <c r="B561" s="426" t="s">
        <v>153</v>
      </c>
      <c r="C561" s="427" t="s">
        <v>771</v>
      </c>
      <c r="D561" s="472" t="s">
        <v>2897</v>
      </c>
      <c r="E561" s="449" t="s">
        <v>1317</v>
      </c>
      <c r="H561" s="419"/>
      <c r="I561" s="71" t="s">
        <v>2142</v>
      </c>
      <c r="J561" s="71" t="s">
        <v>44</v>
      </c>
      <c r="K561" s="71" t="s">
        <v>44</v>
      </c>
      <c r="L561" s="71" t="s">
        <v>760</v>
      </c>
      <c r="M561" s="71" t="s">
        <v>45</v>
      </c>
      <c r="N561" s="419">
        <v>0</v>
      </c>
      <c r="O561" s="419">
        <v>0</v>
      </c>
      <c r="P561" s="71" t="s">
        <v>761</v>
      </c>
      <c r="Q561" s="71" t="s">
        <v>2130</v>
      </c>
      <c r="R561" s="422"/>
      <c r="S561" s="422"/>
      <c r="T561" s="105">
        <v>43360</v>
      </c>
      <c r="U561" s="101" t="s">
        <v>2132</v>
      </c>
      <c r="X561" s="542"/>
      <c r="Y561" s="542"/>
      <c r="Z561" s="542"/>
    </row>
    <row r="562" spans="1:26" s="71" customFormat="1" ht="14.25" customHeight="1">
      <c r="A562" s="423" t="s">
        <v>38</v>
      </c>
      <c r="B562" s="426" t="s">
        <v>153</v>
      </c>
      <c r="C562" s="427" t="s">
        <v>2041</v>
      </c>
      <c r="D562" s="421"/>
      <c r="H562" s="419"/>
      <c r="I562" s="419"/>
      <c r="J562" s="71" t="s">
        <v>1449</v>
      </c>
      <c r="K562" s="420" t="s">
        <v>44</v>
      </c>
      <c r="L562" s="420" t="s">
        <v>776</v>
      </c>
      <c r="M562" s="71" t="s">
        <v>778</v>
      </c>
      <c r="N562" s="419"/>
      <c r="O562" s="419"/>
      <c r="P562" s="71" t="s">
        <v>761</v>
      </c>
      <c r="R562" s="430"/>
      <c r="S562" s="423"/>
      <c r="T562" s="105">
        <v>43298</v>
      </c>
      <c r="U562" s="101"/>
      <c r="W562" s="419"/>
      <c r="X562" s="542"/>
      <c r="Y562" s="542"/>
      <c r="Z562" s="542"/>
    </row>
    <row r="563" spans="1:26" s="71" customFormat="1" ht="14.25" customHeight="1">
      <c r="A563" s="419" t="s">
        <v>38</v>
      </c>
      <c r="B563" s="419" t="s">
        <v>153</v>
      </c>
      <c r="C563" s="419" t="s">
        <v>157</v>
      </c>
      <c r="D563" s="472" t="s">
        <v>2897</v>
      </c>
      <c r="E563" s="71" t="s">
        <v>1536</v>
      </c>
      <c r="F563" s="71" t="s">
        <v>1715</v>
      </c>
      <c r="G563" s="71" t="s">
        <v>1809</v>
      </c>
      <c r="H563" s="71" t="s">
        <v>42</v>
      </c>
      <c r="I563" s="419" t="s">
        <v>2726</v>
      </c>
      <c r="J563" s="71" t="s">
        <v>44</v>
      </c>
      <c r="K563" s="71" t="s">
        <v>44</v>
      </c>
      <c r="L563" s="71" t="s">
        <v>44</v>
      </c>
      <c r="M563" s="71" t="s">
        <v>45</v>
      </c>
      <c r="N563" s="419">
        <v>25.362420757575801</v>
      </c>
      <c r="O563" s="419">
        <v>97.409035000000003</v>
      </c>
      <c r="P563" s="71" t="s">
        <v>761</v>
      </c>
      <c r="Q563" s="71" t="s">
        <v>780</v>
      </c>
      <c r="R563" s="422">
        <v>152</v>
      </c>
      <c r="S563" s="422">
        <v>770</v>
      </c>
      <c r="T563" s="105"/>
      <c r="U563" s="101"/>
      <c r="V563" s="71" t="s">
        <v>157</v>
      </c>
      <c r="W563" s="413" t="s">
        <v>2282</v>
      </c>
      <c r="X563" s="542"/>
      <c r="Y563" s="542"/>
      <c r="Z563" s="542"/>
    </row>
    <row r="564" spans="1:26" s="71" customFormat="1" ht="14.25" customHeight="1">
      <c r="A564" s="419" t="s">
        <v>38</v>
      </c>
      <c r="B564" s="419" t="s">
        <v>153</v>
      </c>
      <c r="C564" s="419" t="s">
        <v>158</v>
      </c>
      <c r="D564" s="472" t="s">
        <v>2897</v>
      </c>
      <c r="E564" s="71" t="s">
        <v>1528</v>
      </c>
      <c r="F564" s="71" t="s">
        <v>1715</v>
      </c>
      <c r="G564" s="71" t="s">
        <v>1809</v>
      </c>
      <c r="H564" s="71" t="s">
        <v>42</v>
      </c>
      <c r="I564" s="419" t="s">
        <v>2726</v>
      </c>
      <c r="J564" s="71" t="s">
        <v>44</v>
      </c>
      <c r="K564" s="71" t="s">
        <v>44</v>
      </c>
      <c r="L564" s="71" t="s">
        <v>44</v>
      </c>
      <c r="M564" s="71" t="s">
        <v>45</v>
      </c>
      <c r="N564" s="419">
        <v>25.3510167948718</v>
      </c>
      <c r="O564" s="419">
        <v>97.403402307692303</v>
      </c>
      <c r="P564" s="419" t="s">
        <v>761</v>
      </c>
      <c r="Q564" s="71" t="s">
        <v>780</v>
      </c>
      <c r="R564" s="422">
        <v>138</v>
      </c>
      <c r="S564" s="422">
        <v>709</v>
      </c>
      <c r="T564" s="105"/>
      <c r="U564" s="101"/>
      <c r="V564" s="71" t="s">
        <v>158</v>
      </c>
      <c r="W564" s="419"/>
      <c r="X564" s="542"/>
      <c r="Y564" s="542"/>
      <c r="Z564" s="542"/>
    </row>
    <row r="565" spans="1:26" s="71" customFormat="1" ht="14.25" customHeight="1">
      <c r="A565" s="419" t="s">
        <v>38</v>
      </c>
      <c r="B565" s="419" t="s">
        <v>153</v>
      </c>
      <c r="C565" s="419" t="s">
        <v>159</v>
      </c>
      <c r="D565" s="472" t="s">
        <v>2897</v>
      </c>
      <c r="E565" s="71" t="s">
        <v>1535</v>
      </c>
      <c r="F565" s="71" t="s">
        <v>1715</v>
      </c>
      <c r="G565" s="71" t="s">
        <v>1814</v>
      </c>
      <c r="H565" s="419" t="s">
        <v>42</v>
      </c>
      <c r="I565" s="71" t="s">
        <v>2726</v>
      </c>
      <c r="J565" s="71" t="s">
        <v>44</v>
      </c>
      <c r="K565" s="71" t="s">
        <v>44</v>
      </c>
      <c r="L565" s="71" t="s">
        <v>44</v>
      </c>
      <c r="M565" s="71" t="s">
        <v>45</v>
      </c>
      <c r="N565" s="419">
        <v>25.360463124999999</v>
      </c>
      <c r="O565" s="419">
        <v>97.4113064583333</v>
      </c>
      <c r="P565" s="17" t="s">
        <v>761</v>
      </c>
      <c r="Q565" s="419" t="s">
        <v>780</v>
      </c>
      <c r="R565" s="99">
        <v>61</v>
      </c>
      <c r="S565" s="422">
        <v>312</v>
      </c>
      <c r="T565" s="442"/>
      <c r="U565" s="101"/>
      <c r="V565" s="71" t="s">
        <v>159</v>
      </c>
      <c r="X565" s="542"/>
      <c r="Y565" s="542"/>
      <c r="Z565" s="542"/>
    </row>
    <row r="566" spans="1:26" s="71" customFormat="1" ht="14.25" customHeight="1">
      <c r="A566" s="419" t="s">
        <v>38</v>
      </c>
      <c r="B566" s="419" t="s">
        <v>153</v>
      </c>
      <c r="C566" s="419" t="s">
        <v>160</v>
      </c>
      <c r="D566" s="472" t="s">
        <v>2897</v>
      </c>
      <c r="E566" s="419" t="s">
        <v>1561</v>
      </c>
      <c r="F566" s="419" t="s">
        <v>1715</v>
      </c>
      <c r="G566" s="419" t="s">
        <v>1826</v>
      </c>
      <c r="H566" s="419" t="s">
        <v>42</v>
      </c>
      <c r="I566" s="419" t="s">
        <v>2726</v>
      </c>
      <c r="J566" s="71" t="s">
        <v>44</v>
      </c>
      <c r="K566" s="419" t="s">
        <v>44</v>
      </c>
      <c r="L566" s="419" t="s">
        <v>44</v>
      </c>
      <c r="M566" s="419" t="s">
        <v>45</v>
      </c>
      <c r="N566" s="419">
        <v>25.428910999999999</v>
      </c>
      <c r="O566" s="419">
        <v>97.418694000000002</v>
      </c>
      <c r="P566" s="71" t="s">
        <v>761</v>
      </c>
      <c r="Q566" s="419" t="s">
        <v>780</v>
      </c>
      <c r="R566" s="422">
        <v>103</v>
      </c>
      <c r="S566" s="422">
        <v>586</v>
      </c>
      <c r="T566" s="442"/>
      <c r="U566" s="424"/>
      <c r="V566" s="419" t="s">
        <v>160</v>
      </c>
      <c r="X566" s="542"/>
      <c r="Y566" s="542"/>
      <c r="Z566" s="542"/>
    </row>
    <row r="567" spans="1:26" s="71" customFormat="1" ht="14.25" customHeight="1">
      <c r="A567" s="419" t="s">
        <v>38</v>
      </c>
      <c r="B567" s="419" t="s">
        <v>153</v>
      </c>
      <c r="C567" s="419" t="s">
        <v>257</v>
      </c>
      <c r="D567" s="472" t="s">
        <v>2897</v>
      </c>
      <c r="E567" s="71" t="s">
        <v>1539</v>
      </c>
      <c r="F567" s="71" t="s">
        <v>1816</v>
      </c>
      <c r="G567" s="71" t="s">
        <v>1816</v>
      </c>
      <c r="H567" s="419" t="s">
        <v>42</v>
      </c>
      <c r="I567" s="419" t="s">
        <v>236</v>
      </c>
      <c r="J567" s="71" t="s">
        <v>44</v>
      </c>
      <c r="K567" s="71" t="s">
        <v>44</v>
      </c>
      <c r="L567" s="71" t="s">
        <v>44</v>
      </c>
      <c r="M567" s="71" t="s">
        <v>45</v>
      </c>
      <c r="N567" s="419">
        <v>25.374343974359</v>
      </c>
      <c r="O567" s="419">
        <v>97.2843958974359</v>
      </c>
      <c r="P567" s="419" t="s">
        <v>761</v>
      </c>
      <c r="Q567" s="71" t="s">
        <v>780</v>
      </c>
      <c r="R567" s="422">
        <v>22</v>
      </c>
      <c r="S567" s="422">
        <v>92</v>
      </c>
      <c r="T567" s="105"/>
      <c r="U567" s="101"/>
      <c r="V567" s="71" t="s">
        <v>257</v>
      </c>
      <c r="W567" s="419"/>
      <c r="X567" s="542"/>
      <c r="Y567" s="542"/>
      <c r="Z567" s="542"/>
    </row>
    <row r="568" spans="1:26" s="71" customFormat="1" ht="14.25" customHeight="1">
      <c r="A568" s="419" t="s">
        <v>38</v>
      </c>
      <c r="B568" s="419" t="s">
        <v>153</v>
      </c>
      <c r="C568" s="419" t="s">
        <v>258</v>
      </c>
      <c r="D568" s="472" t="s">
        <v>2897</v>
      </c>
      <c r="E568" s="419" t="s">
        <v>1538</v>
      </c>
      <c r="F568" s="419" t="s">
        <v>1816</v>
      </c>
      <c r="G568" s="419" t="s">
        <v>1816</v>
      </c>
      <c r="H568" s="419" t="s">
        <v>42</v>
      </c>
      <c r="I568" s="419" t="s">
        <v>236</v>
      </c>
      <c r="J568" s="419" t="s">
        <v>44</v>
      </c>
      <c r="K568" s="419" t="s">
        <v>44</v>
      </c>
      <c r="L568" s="419" t="s">
        <v>44</v>
      </c>
      <c r="M568" s="419" t="s">
        <v>45</v>
      </c>
      <c r="N568" s="419">
        <v>25.371049444444399</v>
      </c>
      <c r="O568" s="419">
        <v>97.290952037037002</v>
      </c>
      <c r="P568" s="419" t="s">
        <v>761</v>
      </c>
      <c r="Q568" s="419" t="s">
        <v>780</v>
      </c>
      <c r="R568" s="422">
        <v>21</v>
      </c>
      <c r="S568" s="422">
        <v>123</v>
      </c>
      <c r="T568" s="442"/>
      <c r="U568" s="424"/>
      <c r="V568" s="419" t="s">
        <v>258</v>
      </c>
      <c r="W568" s="419"/>
      <c r="X568" s="542"/>
      <c r="Y568" s="542"/>
      <c r="Z568" s="542"/>
    </row>
    <row r="569" spans="1:26" s="71" customFormat="1" ht="14.25" customHeight="1">
      <c r="A569" s="419" t="s">
        <v>38</v>
      </c>
      <c r="B569" s="419" t="s">
        <v>153</v>
      </c>
      <c r="C569" s="419" t="s">
        <v>1049</v>
      </c>
      <c r="D569" s="472" t="s">
        <v>1655</v>
      </c>
      <c r="E569" s="71" t="s">
        <v>1541</v>
      </c>
      <c r="F569" s="71" t="s">
        <v>1715</v>
      </c>
      <c r="G569" s="71" t="s">
        <v>1717</v>
      </c>
      <c r="H569" s="419" t="s">
        <v>42</v>
      </c>
      <c r="I569" s="71" t="s">
        <v>236</v>
      </c>
      <c r="J569" s="71" t="s">
        <v>44</v>
      </c>
      <c r="K569" s="71" t="s">
        <v>44</v>
      </c>
      <c r="L569" s="71" t="s">
        <v>760</v>
      </c>
      <c r="M569" s="71" t="s">
        <v>45</v>
      </c>
      <c r="N569" s="419">
        <v>25.387862999999999</v>
      </c>
      <c r="O569" s="419">
        <v>97.376671999999999</v>
      </c>
      <c r="P569" s="71" t="s">
        <v>761</v>
      </c>
      <c r="R569" s="422"/>
      <c r="S569" s="423"/>
      <c r="T569" s="105"/>
      <c r="U569" s="101"/>
      <c r="V569" s="71" t="s">
        <v>1049</v>
      </c>
      <c r="W569" s="413" t="s">
        <v>2184</v>
      </c>
      <c r="X569" s="542"/>
      <c r="Y569" s="542"/>
      <c r="Z569" s="542"/>
    </row>
    <row r="570" spans="1:26" s="71" customFormat="1" ht="14.25" customHeight="1">
      <c r="A570" s="419" t="s">
        <v>38</v>
      </c>
      <c r="B570" s="419" t="s">
        <v>153</v>
      </c>
      <c r="C570" s="419" t="s">
        <v>228</v>
      </c>
      <c r="D570" s="472" t="s">
        <v>2897</v>
      </c>
      <c r="E570" s="71" t="s">
        <v>1550</v>
      </c>
      <c r="F570" s="71" t="s">
        <v>1821</v>
      </c>
      <c r="G570" s="71" t="s">
        <v>1821</v>
      </c>
      <c r="H570" s="419" t="s">
        <v>42</v>
      </c>
      <c r="I570" s="419" t="s">
        <v>1314</v>
      </c>
      <c r="J570" s="71" t="s">
        <v>44</v>
      </c>
      <c r="K570" s="71" t="s">
        <v>44</v>
      </c>
      <c r="L570" s="71" t="s">
        <v>44</v>
      </c>
      <c r="M570" s="71" t="s">
        <v>45</v>
      </c>
      <c r="N570" s="419">
        <v>25.410569299999999</v>
      </c>
      <c r="O570" s="419">
        <v>97.359320179999997</v>
      </c>
      <c r="P570" s="419" t="s">
        <v>761</v>
      </c>
      <c r="Q570" s="71" t="s">
        <v>780</v>
      </c>
      <c r="R570" s="422">
        <v>60</v>
      </c>
      <c r="S570" s="422">
        <v>316</v>
      </c>
      <c r="T570" s="105"/>
      <c r="U570" s="101"/>
      <c r="V570" s="71" t="s">
        <v>228</v>
      </c>
      <c r="W570" s="419"/>
      <c r="X570" s="542"/>
      <c r="Y570" s="542"/>
      <c r="Z570" s="542"/>
    </row>
    <row r="571" spans="1:26" s="71" customFormat="1" ht="14.25" customHeight="1">
      <c r="A571" s="419" t="s">
        <v>38</v>
      </c>
      <c r="B571" s="419" t="s">
        <v>153</v>
      </c>
      <c r="C571" s="419" t="s">
        <v>161</v>
      </c>
      <c r="D571" s="472" t="s">
        <v>2897</v>
      </c>
      <c r="E571" s="71" t="s">
        <v>1557</v>
      </c>
      <c r="F571" s="71" t="s">
        <v>1715</v>
      </c>
      <c r="G571" s="71" t="s">
        <v>1825</v>
      </c>
      <c r="H571" s="419" t="s">
        <v>42</v>
      </c>
      <c r="I571" s="419" t="s">
        <v>2726</v>
      </c>
      <c r="J571" s="71" t="s">
        <v>44</v>
      </c>
      <c r="K571" s="71" t="s">
        <v>44</v>
      </c>
      <c r="L571" s="71" t="s">
        <v>44</v>
      </c>
      <c r="M571" s="71" t="s">
        <v>45</v>
      </c>
      <c r="N571" s="419">
        <v>25.422194000000001</v>
      </c>
      <c r="O571" s="419">
        <v>97.394547000000003</v>
      </c>
      <c r="P571" s="419" t="s">
        <v>761</v>
      </c>
      <c r="Q571" s="71" t="s">
        <v>780</v>
      </c>
      <c r="R571" s="422">
        <v>67</v>
      </c>
      <c r="S571" s="422">
        <v>291</v>
      </c>
      <c r="T571" s="105"/>
      <c r="U571" s="101"/>
      <c r="V571" s="71" t="s">
        <v>161</v>
      </c>
      <c r="W571" s="419"/>
      <c r="X571" s="542"/>
      <c r="Y571" s="542"/>
      <c r="Z571" s="542"/>
    </row>
    <row r="572" spans="1:26" s="71" customFormat="1" ht="14.25" customHeight="1">
      <c r="A572" s="419" t="s">
        <v>38</v>
      </c>
      <c r="B572" s="419" t="s">
        <v>153</v>
      </c>
      <c r="C572" s="419" t="s">
        <v>229</v>
      </c>
      <c r="D572" s="472" t="s">
        <v>2897</v>
      </c>
      <c r="E572" s="419" t="s">
        <v>1563</v>
      </c>
      <c r="F572" s="419" t="s">
        <v>1828</v>
      </c>
      <c r="G572" s="419" t="s">
        <v>1829</v>
      </c>
      <c r="H572" s="419" t="s">
        <v>42</v>
      </c>
      <c r="I572" s="419" t="s">
        <v>1314</v>
      </c>
      <c r="J572" s="419" t="s">
        <v>44</v>
      </c>
      <c r="K572" s="419" t="s">
        <v>44</v>
      </c>
      <c r="L572" s="419" t="s">
        <v>44</v>
      </c>
      <c r="M572" s="419" t="s">
        <v>45</v>
      </c>
      <c r="N572" s="419">
        <v>25.493819999999999</v>
      </c>
      <c r="O572" s="419">
        <v>97.4345</v>
      </c>
      <c r="P572" s="419" t="s">
        <v>761</v>
      </c>
      <c r="Q572" s="419" t="s">
        <v>780</v>
      </c>
      <c r="R572" s="422">
        <v>149</v>
      </c>
      <c r="S572" s="422">
        <v>885</v>
      </c>
      <c r="T572" s="442"/>
      <c r="U572" s="424"/>
      <c r="V572" s="419" t="s">
        <v>229</v>
      </c>
      <c r="X572" s="542"/>
      <c r="Y572" s="542"/>
      <c r="Z572" s="542"/>
    </row>
    <row r="573" spans="1:26" s="71" customFormat="1" ht="14.25" customHeight="1">
      <c r="A573" s="427" t="s">
        <v>38</v>
      </c>
      <c r="B573" s="426" t="s">
        <v>153</v>
      </c>
      <c r="C573" s="427" t="s">
        <v>2128</v>
      </c>
      <c r="D573" s="472" t="s">
        <v>2897</v>
      </c>
      <c r="E573" s="71" t="s">
        <v>2129</v>
      </c>
      <c r="H573" s="419" t="s">
        <v>42</v>
      </c>
      <c r="I573" s="419" t="s">
        <v>1314</v>
      </c>
      <c r="J573" s="71" t="s">
        <v>44</v>
      </c>
      <c r="K573" s="420" t="s">
        <v>44</v>
      </c>
      <c r="L573" s="420" t="s">
        <v>44</v>
      </c>
      <c r="M573" s="71" t="s">
        <v>45</v>
      </c>
      <c r="N573" s="419">
        <v>25.493819999999999</v>
      </c>
      <c r="O573" s="419">
        <v>97.4345</v>
      </c>
      <c r="P573" s="420" t="s">
        <v>761</v>
      </c>
      <c r="Q573" s="71" t="s">
        <v>2130</v>
      </c>
      <c r="R573" s="422">
        <v>255</v>
      </c>
      <c r="S573" s="422">
        <v>1373</v>
      </c>
      <c r="T573" s="105">
        <v>43360</v>
      </c>
      <c r="U573" s="101" t="s">
        <v>2131</v>
      </c>
      <c r="W573" s="413" t="s">
        <v>2283</v>
      </c>
      <c r="X573" s="542"/>
      <c r="Y573" s="542"/>
      <c r="Z573" s="542"/>
    </row>
    <row r="574" spans="1:26" s="71" customFormat="1" ht="14.25" customHeight="1">
      <c r="A574" s="419" t="s">
        <v>38</v>
      </c>
      <c r="B574" s="419" t="s">
        <v>153</v>
      </c>
      <c r="C574" s="420" t="s">
        <v>162</v>
      </c>
      <c r="D574" s="472" t="s">
        <v>2897</v>
      </c>
      <c r="E574" s="71" t="s">
        <v>1552</v>
      </c>
      <c r="F574" s="71" t="s">
        <v>1715</v>
      </c>
      <c r="G574" s="71" t="s">
        <v>1822</v>
      </c>
      <c r="H574" s="419" t="s">
        <v>42</v>
      </c>
      <c r="I574" s="71" t="s">
        <v>2726</v>
      </c>
      <c r="J574" s="71" t="s">
        <v>44</v>
      </c>
      <c r="K574" s="71" t="s">
        <v>44</v>
      </c>
      <c r="L574" s="71" t="s">
        <v>44</v>
      </c>
      <c r="M574" s="71" t="s">
        <v>45</v>
      </c>
      <c r="N574" s="419">
        <v>25.412313000000001</v>
      </c>
      <c r="O574" s="419">
        <v>97.399628000000007</v>
      </c>
      <c r="P574" s="71" t="s">
        <v>761</v>
      </c>
      <c r="Q574" s="71" t="s">
        <v>780</v>
      </c>
      <c r="R574" s="422">
        <v>124</v>
      </c>
      <c r="S574" s="422">
        <v>609</v>
      </c>
      <c r="T574" s="105"/>
      <c r="U574" s="101"/>
      <c r="V574" s="71" t="s">
        <v>162</v>
      </c>
      <c r="W574" s="419"/>
      <c r="X574" s="542"/>
      <c r="Y574" s="542"/>
      <c r="Z574" s="542"/>
    </row>
    <row r="575" spans="1:26" s="71" customFormat="1" ht="14.25" customHeight="1">
      <c r="A575" s="419" t="s">
        <v>38</v>
      </c>
      <c r="B575" s="419" t="s">
        <v>153</v>
      </c>
      <c r="C575" s="420" t="s">
        <v>259</v>
      </c>
      <c r="D575" s="472" t="s">
        <v>2897</v>
      </c>
      <c r="E575" s="71" t="s">
        <v>1559</v>
      </c>
      <c r="F575" s="71" t="s">
        <v>1715</v>
      </c>
      <c r="G575" s="71" t="s">
        <v>1822</v>
      </c>
      <c r="H575" s="419" t="s">
        <v>42</v>
      </c>
      <c r="I575" s="71" t="s">
        <v>236</v>
      </c>
      <c r="J575" s="71" t="s">
        <v>44</v>
      </c>
      <c r="K575" s="71" t="s">
        <v>44</v>
      </c>
      <c r="L575" s="71" t="s">
        <v>44</v>
      </c>
      <c r="M575" s="71" t="s">
        <v>45</v>
      </c>
      <c r="N575" s="419">
        <v>25.423817</v>
      </c>
      <c r="O575" s="419">
        <v>97.418004999999994</v>
      </c>
      <c r="P575" s="71" t="s">
        <v>761</v>
      </c>
      <c r="Q575" s="71" t="s">
        <v>780</v>
      </c>
      <c r="R575" s="422">
        <v>24</v>
      </c>
      <c r="S575" s="422">
        <v>111</v>
      </c>
      <c r="T575" s="105"/>
      <c r="U575" s="101"/>
      <c r="V575" s="71" t="s">
        <v>259</v>
      </c>
      <c r="W575" s="419"/>
      <c r="X575" s="542"/>
      <c r="Y575" s="542"/>
      <c r="Z575" s="542"/>
    </row>
    <row r="576" spans="1:26" s="71" customFormat="1" ht="14.25" customHeight="1">
      <c r="A576" s="419" t="s">
        <v>38</v>
      </c>
      <c r="B576" s="420" t="s">
        <v>153</v>
      </c>
      <c r="C576" s="420" t="s">
        <v>163</v>
      </c>
      <c r="D576" s="472" t="s">
        <v>2897</v>
      </c>
      <c r="E576" s="71" t="s">
        <v>1562</v>
      </c>
      <c r="F576" s="71" t="s">
        <v>1715</v>
      </c>
      <c r="G576" s="71" t="s">
        <v>1827</v>
      </c>
      <c r="H576" s="419" t="s">
        <v>42</v>
      </c>
      <c r="I576" s="419" t="s">
        <v>2726</v>
      </c>
      <c r="J576" s="71" t="s">
        <v>44</v>
      </c>
      <c r="K576" s="71" t="s">
        <v>44</v>
      </c>
      <c r="L576" s="71" t="s">
        <v>44</v>
      </c>
      <c r="M576" s="71" t="s">
        <v>45</v>
      </c>
      <c r="N576" s="419">
        <v>25.440928</v>
      </c>
      <c r="O576" s="419">
        <v>97.419403000000003</v>
      </c>
      <c r="P576" s="71" t="s">
        <v>761</v>
      </c>
      <c r="Q576" s="71" t="s">
        <v>780</v>
      </c>
      <c r="R576" s="422">
        <v>95</v>
      </c>
      <c r="S576" s="422">
        <v>549</v>
      </c>
      <c r="T576" s="105"/>
      <c r="U576" s="101"/>
      <c r="V576" s="71" t="s">
        <v>163</v>
      </c>
      <c r="W576" s="419"/>
      <c r="X576" s="542"/>
      <c r="Y576" s="542"/>
      <c r="Z576" s="542"/>
    </row>
    <row r="577" spans="1:26" s="71" customFormat="1" ht="14.25" customHeight="1">
      <c r="A577" s="427" t="s">
        <v>38</v>
      </c>
      <c r="B577" s="426" t="s">
        <v>153</v>
      </c>
      <c r="C577" s="420" t="s">
        <v>1967</v>
      </c>
      <c r="D577" s="472" t="s">
        <v>2722</v>
      </c>
      <c r="E577" s="419" t="s">
        <v>1974</v>
      </c>
      <c r="F577" s="419"/>
      <c r="G577" s="419"/>
      <c r="H577" s="419"/>
      <c r="I577" s="419" t="s">
        <v>2142</v>
      </c>
      <c r="J577" s="419" t="s">
        <v>44</v>
      </c>
      <c r="K577" s="419" t="s">
        <v>44</v>
      </c>
      <c r="L577" s="419" t="s">
        <v>760</v>
      </c>
      <c r="M577" s="419" t="s">
        <v>45</v>
      </c>
      <c r="N577" s="419">
        <v>97.49136</v>
      </c>
      <c r="O577" s="419">
        <v>25.717300000000002</v>
      </c>
      <c r="P577" s="420" t="s">
        <v>761</v>
      </c>
      <c r="Q577" s="419" t="s">
        <v>1950</v>
      </c>
      <c r="R577" s="422"/>
      <c r="S577" s="422"/>
      <c r="T577" s="442">
        <v>43276</v>
      </c>
      <c r="U577" s="424" t="s">
        <v>1999</v>
      </c>
      <c r="V577" s="419"/>
      <c r="W577" s="413" t="s">
        <v>2284</v>
      </c>
      <c r="X577" s="542"/>
      <c r="Y577" s="542"/>
      <c r="Z577" s="542"/>
    </row>
    <row r="578" spans="1:26" s="71" customFormat="1" ht="14.25" customHeight="1">
      <c r="A578" s="419" t="s">
        <v>38</v>
      </c>
      <c r="B578" s="420" t="s">
        <v>153</v>
      </c>
      <c r="C578" s="420" t="s">
        <v>1144</v>
      </c>
      <c r="D578" s="472" t="s">
        <v>1654</v>
      </c>
      <c r="J578" s="71" t="s">
        <v>44</v>
      </c>
      <c r="K578" s="71" t="s">
        <v>44</v>
      </c>
      <c r="L578" s="71" t="s">
        <v>1087</v>
      </c>
      <c r="M578" s="71" t="s">
        <v>45</v>
      </c>
      <c r="N578" s="419"/>
      <c r="O578" s="419"/>
      <c r="P578" s="71" t="s">
        <v>761</v>
      </c>
      <c r="R578" s="422"/>
      <c r="S578" s="423"/>
      <c r="T578" s="105"/>
      <c r="U578" s="101"/>
      <c r="V578" s="71" t="s">
        <v>1144</v>
      </c>
      <c r="W578" s="419"/>
      <c r="X578" s="542"/>
      <c r="Y578" s="542"/>
      <c r="Z578" s="542"/>
    </row>
    <row r="579" spans="1:26" s="71" customFormat="1" ht="14.25" customHeight="1">
      <c r="A579" s="419" t="s">
        <v>38</v>
      </c>
      <c r="B579" s="420" t="s">
        <v>153</v>
      </c>
      <c r="C579" s="420" t="s">
        <v>164</v>
      </c>
      <c r="D579" s="472" t="s">
        <v>2897</v>
      </c>
      <c r="E579" s="419" t="s">
        <v>1553</v>
      </c>
      <c r="F579" s="419" t="s">
        <v>1715</v>
      </c>
      <c r="G579" s="419" t="s">
        <v>1819</v>
      </c>
      <c r="H579" s="419" t="s">
        <v>42</v>
      </c>
      <c r="I579" s="419" t="s">
        <v>2726</v>
      </c>
      <c r="J579" s="419" t="s">
        <v>44</v>
      </c>
      <c r="K579" s="419" t="s">
        <v>44</v>
      </c>
      <c r="L579" s="419" t="s">
        <v>44</v>
      </c>
      <c r="M579" s="419" t="s">
        <v>45</v>
      </c>
      <c r="N579" s="419">
        <v>25.415482000000001</v>
      </c>
      <c r="O579" s="419">
        <v>97.386718999999999</v>
      </c>
      <c r="P579" s="419" t="s">
        <v>761</v>
      </c>
      <c r="Q579" s="419" t="s">
        <v>780</v>
      </c>
      <c r="R579" s="422">
        <v>78</v>
      </c>
      <c r="S579" s="422">
        <v>424</v>
      </c>
      <c r="T579" s="442"/>
      <c r="U579" s="424"/>
      <c r="V579" s="419" t="s">
        <v>164</v>
      </c>
      <c r="W579" s="419"/>
      <c r="X579" s="542"/>
      <c r="Y579" s="542"/>
      <c r="Z579" s="542"/>
    </row>
    <row r="580" spans="1:26" s="71" customFormat="1" ht="14.25" customHeight="1">
      <c r="A580" s="419" t="s">
        <v>38</v>
      </c>
      <c r="B580" s="420" t="s">
        <v>153</v>
      </c>
      <c r="C580" s="420" t="s">
        <v>260</v>
      </c>
      <c r="D580" s="472" t="s">
        <v>2897</v>
      </c>
      <c r="E580" s="71" t="s">
        <v>1558</v>
      </c>
      <c r="F580" s="71" t="s">
        <v>1715</v>
      </c>
      <c r="G580" s="71" t="s">
        <v>1819</v>
      </c>
      <c r="H580" s="419" t="s">
        <v>42</v>
      </c>
      <c r="I580" s="419" t="s">
        <v>236</v>
      </c>
      <c r="J580" s="71" t="s">
        <v>44</v>
      </c>
      <c r="K580" s="419" t="s">
        <v>44</v>
      </c>
      <c r="L580" s="419" t="s">
        <v>44</v>
      </c>
      <c r="M580" s="71" t="s">
        <v>45</v>
      </c>
      <c r="N580" s="419">
        <v>25.423209</v>
      </c>
      <c r="O580" s="419">
        <v>97.379987</v>
      </c>
      <c r="P580" s="419" t="s">
        <v>761</v>
      </c>
      <c r="Q580" s="71" t="s">
        <v>780</v>
      </c>
      <c r="R580" s="422">
        <v>54</v>
      </c>
      <c r="S580" s="422">
        <v>250</v>
      </c>
      <c r="T580" s="105"/>
      <c r="U580" s="101"/>
      <c r="V580" s="71" t="s">
        <v>1055</v>
      </c>
      <c r="W580" s="419"/>
      <c r="X580" s="542"/>
      <c r="Y580" s="542"/>
      <c r="Z580" s="542"/>
    </row>
    <row r="581" spans="1:26" s="71" customFormat="1" ht="14.25" customHeight="1">
      <c r="A581" s="419" t="s">
        <v>38</v>
      </c>
      <c r="B581" s="420" t="s">
        <v>153</v>
      </c>
      <c r="C581" s="420" t="s">
        <v>261</v>
      </c>
      <c r="D581" s="472" t="s">
        <v>2897</v>
      </c>
      <c r="E581" s="419" t="s">
        <v>1555</v>
      </c>
      <c r="F581" s="419" t="s">
        <v>1715</v>
      </c>
      <c r="G581" s="419" t="s">
        <v>1819</v>
      </c>
      <c r="H581" s="419" t="s">
        <v>42</v>
      </c>
      <c r="I581" s="419" t="s">
        <v>236</v>
      </c>
      <c r="J581" s="419" t="s">
        <v>44</v>
      </c>
      <c r="K581" s="419" t="s">
        <v>44</v>
      </c>
      <c r="L581" s="419" t="s">
        <v>44</v>
      </c>
      <c r="M581" s="419" t="s">
        <v>45</v>
      </c>
      <c r="N581" s="419">
        <v>25.417733999999999</v>
      </c>
      <c r="O581" s="419">
        <v>97.389778000000007</v>
      </c>
      <c r="P581" s="419" t="s">
        <v>761</v>
      </c>
      <c r="Q581" s="419" t="s">
        <v>780</v>
      </c>
      <c r="R581" s="422">
        <v>17</v>
      </c>
      <c r="S581" s="422">
        <v>83</v>
      </c>
      <c r="T581" s="442"/>
      <c r="U581" s="424"/>
      <c r="V581" s="419" t="s">
        <v>261</v>
      </c>
      <c r="W581" s="419"/>
      <c r="X581" s="542"/>
      <c r="Y581" s="542"/>
      <c r="Z581" s="542"/>
    </row>
    <row r="582" spans="1:26" s="71" customFormat="1" ht="14.25" customHeight="1">
      <c r="A582" s="419" t="s">
        <v>38</v>
      </c>
      <c r="B582" s="420" t="s">
        <v>153</v>
      </c>
      <c r="C582" s="420" t="s">
        <v>165</v>
      </c>
      <c r="D582" s="472" t="s">
        <v>2897</v>
      </c>
      <c r="E582" s="419" t="s">
        <v>1548</v>
      </c>
      <c r="F582" s="71" t="s">
        <v>1715</v>
      </c>
      <c r="G582" s="71" t="s">
        <v>1819</v>
      </c>
      <c r="H582" s="419" t="s">
        <v>42</v>
      </c>
      <c r="I582" s="419" t="s">
        <v>2726</v>
      </c>
      <c r="J582" s="71" t="s">
        <v>44</v>
      </c>
      <c r="K582" s="71" t="s">
        <v>44</v>
      </c>
      <c r="L582" s="419" t="s">
        <v>44</v>
      </c>
      <c r="M582" s="71" t="s">
        <v>45</v>
      </c>
      <c r="N582" s="419">
        <v>25.404752999999999</v>
      </c>
      <c r="O582" s="419">
        <v>97.377662999999998</v>
      </c>
      <c r="P582" s="419" t="s">
        <v>761</v>
      </c>
      <c r="Q582" s="71" t="s">
        <v>780</v>
      </c>
      <c r="R582" s="422">
        <v>33</v>
      </c>
      <c r="S582" s="422">
        <v>184</v>
      </c>
      <c r="T582" s="105"/>
      <c r="U582" s="424"/>
      <c r="V582" s="419" t="s">
        <v>165</v>
      </c>
      <c r="W582" s="419"/>
      <c r="X582" s="542"/>
      <c r="Y582" s="542"/>
      <c r="Z582" s="542"/>
    </row>
    <row r="583" spans="1:26" s="71" customFormat="1" ht="14.25" customHeight="1">
      <c r="A583" s="419" t="s">
        <v>38</v>
      </c>
      <c r="B583" s="420" t="s">
        <v>153</v>
      </c>
      <c r="C583" s="420" t="s">
        <v>166</v>
      </c>
      <c r="D583" s="472" t="s">
        <v>2897</v>
      </c>
      <c r="E583" s="419" t="s">
        <v>1547</v>
      </c>
      <c r="F583" s="419" t="s">
        <v>1715</v>
      </c>
      <c r="G583" s="419" t="s">
        <v>1819</v>
      </c>
      <c r="H583" s="419" t="s">
        <v>42</v>
      </c>
      <c r="I583" s="419" t="s">
        <v>2726</v>
      </c>
      <c r="J583" s="71" t="s">
        <v>44</v>
      </c>
      <c r="K583" s="419" t="s">
        <v>44</v>
      </c>
      <c r="L583" s="419" t="s">
        <v>44</v>
      </c>
      <c r="M583" s="71" t="s">
        <v>45</v>
      </c>
      <c r="N583" s="419">
        <v>25.404015000000001</v>
      </c>
      <c r="O583" s="419">
        <v>97.382192000000003</v>
      </c>
      <c r="P583" s="419" t="s">
        <v>761</v>
      </c>
      <c r="Q583" s="71" t="s">
        <v>780</v>
      </c>
      <c r="R583" s="422">
        <v>46</v>
      </c>
      <c r="S583" s="422">
        <v>242</v>
      </c>
      <c r="T583" s="105"/>
      <c r="U583" s="424"/>
      <c r="V583" s="419" t="s">
        <v>166</v>
      </c>
      <c r="W583" s="419"/>
      <c r="X583" s="542"/>
      <c r="Y583" s="542"/>
      <c r="Z583" s="542"/>
    </row>
    <row r="584" spans="1:26" s="71" customFormat="1" ht="14.25" customHeight="1">
      <c r="A584" s="427" t="s">
        <v>38</v>
      </c>
      <c r="B584" s="426" t="s">
        <v>153</v>
      </c>
      <c r="C584" s="420" t="s">
        <v>1955</v>
      </c>
      <c r="D584" s="421"/>
      <c r="F584" s="419"/>
      <c r="H584" s="419"/>
      <c r="J584" s="71" t="s">
        <v>1449</v>
      </c>
      <c r="K584" s="419" t="s">
        <v>44</v>
      </c>
      <c r="L584" s="419" t="s">
        <v>44</v>
      </c>
      <c r="M584" s="71" t="s">
        <v>45</v>
      </c>
      <c r="N584" s="419"/>
      <c r="O584" s="419"/>
      <c r="P584" s="419" t="s">
        <v>761</v>
      </c>
      <c r="Q584" s="71" t="s">
        <v>1950</v>
      </c>
      <c r="R584" s="430"/>
      <c r="S584" s="423"/>
      <c r="T584" s="105">
        <v>43270</v>
      </c>
      <c r="U584" s="101"/>
      <c r="W584" s="419"/>
      <c r="X584" s="542"/>
      <c r="Y584" s="542"/>
      <c r="Z584" s="542"/>
    </row>
    <row r="585" spans="1:26" s="71" customFormat="1" ht="14.25" customHeight="1">
      <c r="A585" s="427" t="s">
        <v>38</v>
      </c>
      <c r="B585" s="426" t="s">
        <v>153</v>
      </c>
      <c r="C585" s="420" t="s">
        <v>1968</v>
      </c>
      <c r="D585" s="472" t="s">
        <v>2897</v>
      </c>
      <c r="E585" s="420" t="s">
        <v>1976</v>
      </c>
      <c r="F585" s="420"/>
      <c r="G585" s="420"/>
      <c r="H585" s="420"/>
      <c r="I585" s="420" t="s">
        <v>2142</v>
      </c>
      <c r="J585" s="419" t="s">
        <v>44</v>
      </c>
      <c r="K585" s="419" t="s">
        <v>44</v>
      </c>
      <c r="L585" s="420" t="s">
        <v>776</v>
      </c>
      <c r="M585" s="419" t="s">
        <v>45</v>
      </c>
      <c r="N585" s="419">
        <v>0</v>
      </c>
      <c r="O585" s="419">
        <v>0</v>
      </c>
      <c r="P585" s="17" t="s">
        <v>761</v>
      </c>
      <c r="Q585" s="419" t="s">
        <v>1950</v>
      </c>
      <c r="R585" s="422">
        <v>8</v>
      </c>
      <c r="S585" s="422">
        <v>32</v>
      </c>
      <c r="T585" s="442">
        <v>43276</v>
      </c>
      <c r="U585" s="428" t="s">
        <v>2000</v>
      </c>
      <c r="V585" s="420"/>
      <c r="W585" s="413" t="s">
        <v>2153</v>
      </c>
      <c r="X585" s="542"/>
      <c r="Y585" s="542"/>
      <c r="Z585" s="542"/>
    </row>
    <row r="586" spans="1:26" s="71" customFormat="1" ht="14.25" customHeight="1">
      <c r="A586" s="427" t="s">
        <v>38</v>
      </c>
      <c r="B586" s="426" t="s">
        <v>153</v>
      </c>
      <c r="C586" s="420" t="s">
        <v>2137</v>
      </c>
      <c r="D586" s="472" t="s">
        <v>2897</v>
      </c>
      <c r="E586" s="419" t="s">
        <v>1973</v>
      </c>
      <c r="F586" s="419"/>
      <c r="G586" s="419"/>
      <c r="H586" s="419" t="s">
        <v>42</v>
      </c>
      <c r="I586" s="419" t="s">
        <v>2726</v>
      </c>
      <c r="J586" s="71" t="s">
        <v>44</v>
      </c>
      <c r="K586" s="71" t="s">
        <v>44</v>
      </c>
      <c r="L586" s="71" t="s">
        <v>44</v>
      </c>
      <c r="M586" s="71" t="s">
        <v>45</v>
      </c>
      <c r="N586" s="419">
        <v>25.480989999999998</v>
      </c>
      <c r="O586" s="419">
        <v>97.431079999999994</v>
      </c>
      <c r="P586" s="420" t="s">
        <v>761</v>
      </c>
      <c r="Q586" s="71" t="s">
        <v>1950</v>
      </c>
      <c r="R586" s="422">
        <v>205</v>
      </c>
      <c r="S586" s="422">
        <v>960</v>
      </c>
      <c r="T586" s="105">
        <v>43276</v>
      </c>
      <c r="U586" s="424" t="s">
        <v>1999</v>
      </c>
      <c r="V586" s="419"/>
      <c r="W586" s="413" t="s">
        <v>2285</v>
      </c>
      <c r="X586" s="542"/>
      <c r="Y586" s="542"/>
      <c r="Z586" s="542"/>
    </row>
    <row r="587" spans="1:26" s="71" customFormat="1" ht="14.25" customHeight="1">
      <c r="A587" s="427" t="s">
        <v>38</v>
      </c>
      <c r="B587" s="426" t="s">
        <v>153</v>
      </c>
      <c r="C587" s="420" t="s">
        <v>1956</v>
      </c>
      <c r="D587" s="421"/>
      <c r="E587" s="419"/>
      <c r="F587" s="419"/>
      <c r="G587" s="419"/>
      <c r="H587" s="419"/>
      <c r="I587" s="419"/>
      <c r="J587" s="419" t="s">
        <v>1449</v>
      </c>
      <c r="K587" s="419" t="s">
        <v>44</v>
      </c>
      <c r="L587" s="419" t="s">
        <v>44</v>
      </c>
      <c r="M587" s="419" t="s">
        <v>45</v>
      </c>
      <c r="N587" s="419"/>
      <c r="O587" s="419"/>
      <c r="P587" s="419" t="s">
        <v>761</v>
      </c>
      <c r="Q587" s="419" t="s">
        <v>1950</v>
      </c>
      <c r="R587" s="430"/>
      <c r="S587" s="423"/>
      <c r="T587" s="442">
        <v>43270</v>
      </c>
      <c r="U587" s="424"/>
      <c r="V587" s="419"/>
      <c r="W587" s="419"/>
      <c r="X587" s="542"/>
      <c r="Y587" s="542"/>
      <c r="Z587" s="542"/>
    </row>
    <row r="588" spans="1:26" s="71" customFormat="1" ht="14.25" customHeight="1">
      <c r="A588" s="419" t="s">
        <v>38</v>
      </c>
      <c r="B588" s="420" t="s">
        <v>153</v>
      </c>
      <c r="C588" s="420" t="s">
        <v>1047</v>
      </c>
      <c r="D588" s="472" t="s">
        <v>1655</v>
      </c>
      <c r="E588" s="71" t="s">
        <v>1540</v>
      </c>
      <c r="F588" s="71" t="s">
        <v>1715</v>
      </c>
      <c r="G588" s="71" t="s">
        <v>1716</v>
      </c>
      <c r="H588" s="71" t="s">
        <v>42</v>
      </c>
      <c r="I588" s="71" t="s">
        <v>236</v>
      </c>
      <c r="J588" s="71" t="s">
        <v>44</v>
      </c>
      <c r="K588" s="71" t="s">
        <v>44</v>
      </c>
      <c r="L588" s="71" t="s">
        <v>760</v>
      </c>
      <c r="M588" s="71" t="s">
        <v>45</v>
      </c>
      <c r="N588" s="419">
        <v>25.377038169999999</v>
      </c>
      <c r="O588" s="419">
        <v>97.403878500000005</v>
      </c>
      <c r="P588" s="71" t="s">
        <v>761</v>
      </c>
      <c r="Q588" s="71" t="s">
        <v>780</v>
      </c>
      <c r="R588" s="422"/>
      <c r="S588" s="423"/>
      <c r="T588" s="105">
        <v>42983</v>
      </c>
      <c r="U588" s="101" t="s">
        <v>1048</v>
      </c>
      <c r="V588" s="71" t="s">
        <v>1047</v>
      </c>
      <c r="W588" s="419" t="s">
        <v>2185</v>
      </c>
      <c r="X588" s="542"/>
      <c r="Y588" s="542"/>
      <c r="Z588" s="542"/>
    </row>
    <row r="589" spans="1:26" s="71" customFormat="1" ht="14.25" customHeight="1">
      <c r="A589" s="419" t="s">
        <v>38</v>
      </c>
      <c r="B589" s="419" t="s">
        <v>167</v>
      </c>
      <c r="C589" s="419" t="s">
        <v>1100</v>
      </c>
      <c r="D589" s="472" t="s">
        <v>1654</v>
      </c>
      <c r="E589" s="419"/>
      <c r="F589" s="419"/>
      <c r="G589" s="419"/>
      <c r="H589" s="419"/>
      <c r="I589" s="419"/>
      <c r="J589" s="71" t="s">
        <v>44</v>
      </c>
      <c r="K589" s="71" t="s">
        <v>44</v>
      </c>
      <c r="L589" s="71" t="s">
        <v>1087</v>
      </c>
      <c r="M589" s="71" t="s">
        <v>45</v>
      </c>
      <c r="N589" s="419"/>
      <c r="O589" s="419"/>
      <c r="P589" s="71" t="s">
        <v>761</v>
      </c>
      <c r="R589" s="422"/>
      <c r="S589" s="423"/>
      <c r="T589" s="105"/>
      <c r="U589" s="424"/>
      <c r="V589" s="419" t="s">
        <v>1100</v>
      </c>
      <c r="W589" s="419"/>
      <c r="X589" s="542"/>
      <c r="Y589" s="542"/>
      <c r="Z589" s="542"/>
    </row>
    <row r="590" spans="1:26" s="71" customFormat="1" ht="14.25" customHeight="1">
      <c r="A590" s="419" t="s">
        <v>38</v>
      </c>
      <c r="B590" s="419" t="s">
        <v>167</v>
      </c>
      <c r="C590" s="419" t="s">
        <v>1074</v>
      </c>
      <c r="D590" s="472" t="s">
        <v>2897</v>
      </c>
      <c r="E590" s="419" t="s">
        <v>1604</v>
      </c>
      <c r="F590" s="419" t="s">
        <v>1728</v>
      </c>
      <c r="G590" s="419" t="s">
        <v>1869</v>
      </c>
      <c r="H590" s="419"/>
      <c r="I590" s="420" t="s">
        <v>2142</v>
      </c>
      <c r="J590" s="71" t="s">
        <v>44</v>
      </c>
      <c r="K590" s="419" t="s">
        <v>44</v>
      </c>
      <c r="L590" s="419" t="s">
        <v>772</v>
      </c>
      <c r="M590" s="71" t="s">
        <v>45</v>
      </c>
      <c r="N590" s="419">
        <v>27.248964999999998</v>
      </c>
      <c r="O590" s="419">
        <v>97.561105999999995</v>
      </c>
      <c r="P590" s="71" t="s">
        <v>773</v>
      </c>
      <c r="Q590" s="71" t="s">
        <v>762</v>
      </c>
      <c r="R590" s="422">
        <v>10</v>
      </c>
      <c r="S590" s="422">
        <v>56</v>
      </c>
      <c r="T590" s="105"/>
      <c r="U590" s="424" t="s">
        <v>1075</v>
      </c>
      <c r="V590" s="419"/>
      <c r="W590" s="419"/>
      <c r="X590" s="542"/>
      <c r="Y590" s="542"/>
      <c r="Z590" s="542"/>
    </row>
    <row r="591" spans="1:26" s="71" customFormat="1" ht="14.25" customHeight="1">
      <c r="A591" s="419" t="s">
        <v>38</v>
      </c>
      <c r="B591" s="419" t="s">
        <v>167</v>
      </c>
      <c r="C591" s="419" t="s">
        <v>168</v>
      </c>
      <c r="D591" s="472" t="s">
        <v>2897</v>
      </c>
      <c r="E591" s="71" t="s">
        <v>1608</v>
      </c>
      <c r="F591" s="419" t="s">
        <v>1844</v>
      </c>
      <c r="G591" s="71" t="s">
        <v>1845</v>
      </c>
      <c r="H591" s="71" t="s">
        <v>42</v>
      </c>
      <c r="I591" s="71" t="s">
        <v>2726</v>
      </c>
      <c r="J591" s="71" t="s">
        <v>44</v>
      </c>
      <c r="K591" s="419" t="s">
        <v>44</v>
      </c>
      <c r="L591" s="419" t="s">
        <v>44</v>
      </c>
      <c r="M591" s="71" t="s">
        <v>45</v>
      </c>
      <c r="N591" s="419">
        <v>27.337499999999999</v>
      </c>
      <c r="O591" s="419">
        <v>97.416121000000004</v>
      </c>
      <c r="P591" s="71" t="s">
        <v>761</v>
      </c>
      <c r="Q591" s="71" t="s">
        <v>780</v>
      </c>
      <c r="R591" s="422">
        <v>61</v>
      </c>
      <c r="S591" s="422">
        <v>281</v>
      </c>
      <c r="T591" s="105"/>
      <c r="U591" s="101"/>
      <c r="V591" s="71" t="s">
        <v>1082</v>
      </c>
      <c r="W591" s="419"/>
      <c r="X591" s="542"/>
      <c r="Y591" s="542"/>
      <c r="Z591" s="542"/>
    </row>
    <row r="592" spans="1:26" s="71" customFormat="1" ht="14.25" customHeight="1">
      <c r="A592" s="419" t="s">
        <v>38</v>
      </c>
      <c r="B592" s="419" t="s">
        <v>167</v>
      </c>
      <c r="C592" s="419" t="s">
        <v>1076</v>
      </c>
      <c r="D592" s="472" t="s">
        <v>1655</v>
      </c>
      <c r="E592" s="71" t="s">
        <v>1605</v>
      </c>
      <c r="F592" s="71" t="s">
        <v>1728</v>
      </c>
      <c r="G592" s="71" t="s">
        <v>1729</v>
      </c>
      <c r="I592" s="71">
        <v>0</v>
      </c>
      <c r="J592" s="71" t="s">
        <v>44</v>
      </c>
      <c r="K592" s="419" t="s">
        <v>44</v>
      </c>
      <c r="L592" s="419" t="s">
        <v>760</v>
      </c>
      <c r="M592" s="71" t="s">
        <v>45</v>
      </c>
      <c r="N592" s="71">
        <v>27.270199999999999</v>
      </c>
      <c r="O592" s="419">
        <v>97.58184</v>
      </c>
      <c r="P592" s="71" t="s">
        <v>761</v>
      </c>
      <c r="R592" s="422"/>
      <c r="S592" s="423"/>
      <c r="T592" s="105"/>
      <c r="U592" s="101"/>
      <c r="V592" s="71" t="s">
        <v>1076</v>
      </c>
      <c r="W592" s="413" t="s">
        <v>2186</v>
      </c>
      <c r="X592" s="542"/>
      <c r="Y592" s="542"/>
      <c r="Z592" s="542"/>
    </row>
    <row r="593" spans="1:26" s="71" customFormat="1" ht="14.25" customHeight="1">
      <c r="A593" s="419" t="s">
        <v>38</v>
      </c>
      <c r="B593" s="419" t="s">
        <v>167</v>
      </c>
      <c r="C593" s="419" t="s">
        <v>1125</v>
      </c>
      <c r="D593" s="472" t="s">
        <v>1654</v>
      </c>
      <c r="J593" s="71" t="s">
        <v>44</v>
      </c>
      <c r="K593" s="71" t="s">
        <v>44</v>
      </c>
      <c r="L593" s="71" t="s">
        <v>1087</v>
      </c>
      <c r="M593" s="71" t="s">
        <v>45</v>
      </c>
      <c r="P593" s="71" t="s">
        <v>761</v>
      </c>
      <c r="R593" s="99"/>
      <c r="S593" s="100"/>
      <c r="T593" s="105"/>
      <c r="U593" s="101"/>
      <c r="V593" s="71" t="s">
        <v>1125</v>
      </c>
      <c r="W593" s="419"/>
      <c r="X593" s="542"/>
      <c r="Y593" s="542"/>
      <c r="Z593" s="542"/>
    </row>
    <row r="594" spans="1:26" s="71" customFormat="1" ht="14.25" customHeight="1">
      <c r="A594" s="419" t="s">
        <v>38</v>
      </c>
      <c r="B594" s="420" t="s">
        <v>167</v>
      </c>
      <c r="C594" s="420" t="s">
        <v>1080</v>
      </c>
      <c r="D594" s="472" t="s">
        <v>2897</v>
      </c>
      <c r="E594" s="71" t="s">
        <v>1607</v>
      </c>
      <c r="F594" s="71" t="s">
        <v>1844</v>
      </c>
      <c r="G594" s="71" t="s">
        <v>1870</v>
      </c>
      <c r="I594" s="420" t="s">
        <v>2142</v>
      </c>
      <c r="J594" s="71" t="s">
        <v>44</v>
      </c>
      <c r="K594" s="71" t="s">
        <v>44</v>
      </c>
      <c r="L594" s="71" t="s">
        <v>772</v>
      </c>
      <c r="M594" s="71" t="s">
        <v>45</v>
      </c>
      <c r="N594" s="71">
        <v>27.311699999999998</v>
      </c>
      <c r="O594" s="71">
        <v>97.415289999999999</v>
      </c>
      <c r="P594" s="71" t="s">
        <v>773</v>
      </c>
      <c r="Q594" s="71" t="s">
        <v>762</v>
      </c>
      <c r="R594" s="422">
        <v>17</v>
      </c>
      <c r="S594" s="422">
        <v>92</v>
      </c>
      <c r="T594" s="105"/>
      <c r="U594" s="101" t="s">
        <v>1081</v>
      </c>
      <c r="V594" s="71" t="s">
        <v>1080</v>
      </c>
      <c r="W594" s="419"/>
      <c r="X594" s="542"/>
      <c r="Y594" s="542"/>
      <c r="Z594" s="542"/>
    </row>
    <row r="595" spans="1:26" s="71" customFormat="1" ht="14.25" customHeight="1">
      <c r="A595" s="423" t="s">
        <v>38</v>
      </c>
      <c r="B595" s="426" t="s">
        <v>208</v>
      </c>
      <c r="C595" s="427" t="s">
        <v>2039</v>
      </c>
      <c r="D595" s="421"/>
      <c r="J595" s="71" t="s">
        <v>1449</v>
      </c>
      <c r="K595" s="420" t="s">
        <v>44</v>
      </c>
      <c r="L595" s="420" t="s">
        <v>776</v>
      </c>
      <c r="M595" s="71" t="s">
        <v>778</v>
      </c>
      <c r="N595" s="419"/>
      <c r="O595" s="419"/>
      <c r="P595" s="71" t="s">
        <v>761</v>
      </c>
      <c r="R595" s="430"/>
      <c r="S595" s="423"/>
      <c r="T595" s="105">
        <v>43298</v>
      </c>
      <c r="U595" s="101"/>
      <c r="W595" s="419"/>
      <c r="X595" s="542"/>
      <c r="Y595" s="542"/>
      <c r="Z595" s="542"/>
    </row>
    <row r="596" spans="1:26" s="71" customFormat="1" ht="14.25" customHeight="1">
      <c r="A596" s="423" t="s">
        <v>38</v>
      </c>
      <c r="B596" s="426" t="s">
        <v>208</v>
      </c>
      <c r="C596" s="448" t="s">
        <v>2031</v>
      </c>
      <c r="D596" s="421" t="s">
        <v>2897</v>
      </c>
      <c r="E596" s="419" t="s">
        <v>2898</v>
      </c>
      <c r="F596" s="419"/>
      <c r="G596" s="419"/>
      <c r="H596" s="419"/>
      <c r="I596" s="419"/>
      <c r="J596" s="419" t="s">
        <v>44</v>
      </c>
      <c r="K596" s="420" t="s">
        <v>44</v>
      </c>
      <c r="L596" s="420" t="s">
        <v>776</v>
      </c>
      <c r="M596" s="419" t="s">
        <v>778</v>
      </c>
      <c r="N596" s="419"/>
      <c r="O596" s="419"/>
      <c r="P596" s="419" t="s">
        <v>761</v>
      </c>
      <c r="Q596" s="419"/>
      <c r="R596" s="430">
        <v>361</v>
      </c>
      <c r="S596" s="423">
        <v>1397</v>
      </c>
      <c r="T596" s="442">
        <v>43628</v>
      </c>
      <c r="U596" s="424"/>
      <c r="V596" s="419"/>
      <c r="W596" s="419" t="s">
        <v>2899</v>
      </c>
      <c r="X596" s="542"/>
      <c r="Y596" s="542"/>
      <c r="Z596" s="542"/>
    </row>
    <row r="597" spans="1:26" s="71" customFormat="1" ht="14.25" customHeight="1">
      <c r="A597" s="419" t="s">
        <v>38</v>
      </c>
      <c r="B597" s="420" t="s">
        <v>208</v>
      </c>
      <c r="C597" s="420" t="s">
        <v>209</v>
      </c>
      <c r="D597" s="472" t="s">
        <v>2897</v>
      </c>
      <c r="E597" s="71" t="s">
        <v>1462</v>
      </c>
      <c r="F597" s="71" t="s">
        <v>1773</v>
      </c>
      <c r="G597" s="71" t="s">
        <v>1773</v>
      </c>
      <c r="H597" s="71" t="s">
        <v>42</v>
      </c>
      <c r="I597" s="71" t="s">
        <v>2725</v>
      </c>
      <c r="J597" s="71" t="s">
        <v>44</v>
      </c>
      <c r="K597" s="71" t="s">
        <v>44</v>
      </c>
      <c r="L597" s="71" t="s">
        <v>44</v>
      </c>
      <c r="M597" s="71" t="s">
        <v>45</v>
      </c>
      <c r="N597" s="71">
        <v>24.200361000000001</v>
      </c>
      <c r="O597" s="71">
        <v>96.807353000000006</v>
      </c>
      <c r="P597" s="71" t="s">
        <v>761</v>
      </c>
      <c r="Q597" s="71" t="s">
        <v>780</v>
      </c>
      <c r="R597" s="99">
        <v>47</v>
      </c>
      <c r="S597" s="422">
        <v>276</v>
      </c>
      <c r="T597" s="105"/>
      <c r="U597" s="101"/>
      <c r="V597" s="71" t="s">
        <v>209</v>
      </c>
      <c r="X597" s="542"/>
      <c r="Y597" s="542"/>
      <c r="Z597" s="542"/>
    </row>
    <row r="598" spans="1:26" s="71" customFormat="1" ht="14.25" customHeight="1">
      <c r="A598" s="419" t="s">
        <v>38</v>
      </c>
      <c r="B598" s="420" t="s">
        <v>208</v>
      </c>
      <c r="C598" s="420" t="s">
        <v>210</v>
      </c>
      <c r="D598" s="472" t="s">
        <v>2897</v>
      </c>
      <c r="E598" s="419" t="s">
        <v>1463</v>
      </c>
      <c r="F598" s="419" t="s">
        <v>1773</v>
      </c>
      <c r="G598" s="419" t="s">
        <v>1773</v>
      </c>
      <c r="H598" s="419" t="s">
        <v>42</v>
      </c>
      <c r="I598" s="419" t="s">
        <v>43</v>
      </c>
      <c r="J598" s="419" t="s">
        <v>44</v>
      </c>
      <c r="K598" s="419" t="s">
        <v>44</v>
      </c>
      <c r="L598" s="419" t="s">
        <v>44</v>
      </c>
      <c r="M598" s="419" t="s">
        <v>45</v>
      </c>
      <c r="N598" s="419">
        <v>24.200367</v>
      </c>
      <c r="O598" s="419">
        <v>96.807353000000006</v>
      </c>
      <c r="P598" s="419" t="s">
        <v>761</v>
      </c>
      <c r="Q598" s="419" t="s">
        <v>780</v>
      </c>
      <c r="R598" s="422">
        <v>47</v>
      </c>
      <c r="S598" s="422">
        <v>194</v>
      </c>
      <c r="T598" s="442"/>
      <c r="U598" s="424"/>
      <c r="V598" s="419" t="s">
        <v>210</v>
      </c>
      <c r="W598" s="419"/>
      <c r="X598" s="542"/>
      <c r="Y598" s="542"/>
      <c r="Z598" s="542"/>
    </row>
    <row r="599" spans="1:26" s="71" customFormat="1" ht="14.25" customHeight="1">
      <c r="A599" s="419" t="s">
        <v>38</v>
      </c>
      <c r="B599" s="420" t="s">
        <v>208</v>
      </c>
      <c r="C599" s="420" t="s">
        <v>1138</v>
      </c>
      <c r="D599" s="472" t="s">
        <v>1654</v>
      </c>
      <c r="E599" s="419"/>
      <c r="F599" s="419"/>
      <c r="G599" s="419"/>
      <c r="H599" s="419"/>
      <c r="I599" s="419"/>
      <c r="J599" s="419" t="s">
        <v>1087</v>
      </c>
      <c r="K599" s="419" t="s">
        <v>44</v>
      </c>
      <c r="L599" s="419" t="s">
        <v>760</v>
      </c>
      <c r="M599" s="419" t="s">
        <v>45</v>
      </c>
      <c r="N599" s="419"/>
      <c r="O599" s="419"/>
      <c r="P599" s="71" t="s">
        <v>761</v>
      </c>
      <c r="Q599" s="419"/>
      <c r="R599" s="422"/>
      <c r="S599" s="423"/>
      <c r="T599" s="442"/>
      <c r="U599" s="424"/>
      <c r="V599" s="419" t="s">
        <v>1138</v>
      </c>
      <c r="X599" s="542"/>
      <c r="Y599" s="542"/>
      <c r="Z599" s="542"/>
    </row>
    <row r="600" spans="1:26" s="71" customFormat="1" ht="14.25" customHeight="1">
      <c r="A600" s="419" t="s">
        <v>38</v>
      </c>
      <c r="B600" s="420" t="s">
        <v>208</v>
      </c>
      <c r="C600" s="420" t="s">
        <v>1002</v>
      </c>
      <c r="D600" s="472" t="s">
        <v>1654</v>
      </c>
      <c r="E600" s="71" t="s">
        <v>1471</v>
      </c>
      <c r="I600" s="71">
        <v>0</v>
      </c>
      <c r="J600" s="71" t="s">
        <v>44</v>
      </c>
      <c r="K600" s="71" t="s">
        <v>44</v>
      </c>
      <c r="L600" s="71" t="s">
        <v>760</v>
      </c>
      <c r="M600" s="71" t="s">
        <v>45</v>
      </c>
      <c r="N600" s="71">
        <v>24.224830999999998</v>
      </c>
      <c r="O600" s="71">
        <v>96.793177</v>
      </c>
      <c r="P600" s="71" t="s">
        <v>761</v>
      </c>
      <c r="Q600" s="71" t="s">
        <v>762</v>
      </c>
      <c r="R600" s="422"/>
      <c r="S600" s="100"/>
      <c r="T600" s="105">
        <v>42983</v>
      </c>
      <c r="U600" s="101" t="s">
        <v>1003</v>
      </c>
      <c r="W600" s="71" t="s">
        <v>2187</v>
      </c>
      <c r="X600" s="542"/>
      <c r="Y600" s="542"/>
      <c r="Z600" s="542"/>
    </row>
    <row r="601" spans="1:26" s="71" customFormat="1" ht="14.25" customHeight="1">
      <c r="A601" s="423" t="s">
        <v>38</v>
      </c>
      <c r="B601" s="426" t="s">
        <v>208</v>
      </c>
      <c r="C601" s="427" t="s">
        <v>2038</v>
      </c>
      <c r="D601" s="421"/>
      <c r="J601" s="71" t="s">
        <v>1449</v>
      </c>
      <c r="K601" s="420" t="s">
        <v>44</v>
      </c>
      <c r="L601" s="420" t="s">
        <v>776</v>
      </c>
      <c r="M601" s="71" t="s">
        <v>778</v>
      </c>
      <c r="N601" s="419"/>
      <c r="O601" s="419"/>
      <c r="P601" s="71" t="s">
        <v>761</v>
      </c>
      <c r="R601" s="430"/>
      <c r="S601" s="100"/>
      <c r="T601" s="105">
        <v>43298</v>
      </c>
      <c r="U601" s="101"/>
      <c r="X601" s="542"/>
      <c r="Y601" s="542"/>
      <c r="Z601" s="542"/>
    </row>
    <row r="602" spans="1:26" s="71" customFormat="1" ht="14.25" customHeight="1">
      <c r="A602" s="423" t="s">
        <v>38</v>
      </c>
      <c r="B602" s="426" t="s">
        <v>208</v>
      </c>
      <c r="C602" s="427" t="s">
        <v>2036</v>
      </c>
      <c r="D602" s="421"/>
      <c r="J602" s="71" t="s">
        <v>1449</v>
      </c>
      <c r="K602" s="420" t="s">
        <v>44</v>
      </c>
      <c r="L602" s="420" t="s">
        <v>776</v>
      </c>
      <c r="M602" s="71" t="s">
        <v>778</v>
      </c>
      <c r="P602" s="71" t="s">
        <v>761</v>
      </c>
      <c r="R602" s="430"/>
      <c r="S602" s="100"/>
      <c r="T602" s="105">
        <v>43298</v>
      </c>
      <c r="U602" s="101"/>
      <c r="X602" s="542"/>
      <c r="Y602" s="542"/>
      <c r="Z602" s="542"/>
    </row>
    <row r="603" spans="1:26" s="71" customFormat="1" ht="14.25" customHeight="1">
      <c r="A603" s="419" t="s">
        <v>38</v>
      </c>
      <c r="B603" s="419" t="s">
        <v>178</v>
      </c>
      <c r="C603" s="471" t="s">
        <v>2723</v>
      </c>
      <c r="D603" s="472" t="s">
        <v>2897</v>
      </c>
      <c r="E603" s="71" t="s">
        <v>2724</v>
      </c>
      <c r="F603" s="71">
        <v>0</v>
      </c>
      <c r="G603" s="71">
        <v>0</v>
      </c>
      <c r="I603" s="420" t="s">
        <v>2142</v>
      </c>
      <c r="J603" s="71" t="s">
        <v>44</v>
      </c>
      <c r="K603" s="71" t="s">
        <v>44</v>
      </c>
      <c r="L603" s="470" t="s">
        <v>776</v>
      </c>
      <c r="M603" s="71" t="s">
        <v>45</v>
      </c>
      <c r="N603" s="419">
        <v>25.415667500000001</v>
      </c>
      <c r="O603" s="419">
        <v>97.437782499999997</v>
      </c>
      <c r="P603" s="17" t="s">
        <v>761</v>
      </c>
      <c r="Q603" s="71" t="s">
        <v>2682</v>
      </c>
      <c r="R603" s="422">
        <v>29</v>
      </c>
      <c r="S603" s="422">
        <v>140</v>
      </c>
      <c r="T603" s="105">
        <v>43579</v>
      </c>
      <c r="U603" s="101"/>
      <c r="X603" s="542"/>
      <c r="Y603" s="542"/>
      <c r="Z603" s="542"/>
    </row>
    <row r="604" spans="1:26" s="71" customFormat="1" ht="14.25" customHeight="1">
      <c r="A604" s="419" t="s">
        <v>38</v>
      </c>
      <c r="B604" s="419" t="s">
        <v>178</v>
      </c>
      <c r="C604" s="419" t="s">
        <v>179</v>
      </c>
      <c r="D604" s="472" t="s">
        <v>2897</v>
      </c>
      <c r="E604" s="71" t="s">
        <v>1602</v>
      </c>
      <c r="F604" s="71">
        <v>0</v>
      </c>
      <c r="G604" s="71">
        <v>0</v>
      </c>
      <c r="H604" s="71" t="s">
        <v>42</v>
      </c>
      <c r="I604" s="71" t="s">
        <v>2726</v>
      </c>
      <c r="J604" s="71" t="s">
        <v>44</v>
      </c>
      <c r="K604" s="71" t="s">
        <v>44</v>
      </c>
      <c r="L604" s="71" t="s">
        <v>44</v>
      </c>
      <c r="M604" s="71" t="s">
        <v>778</v>
      </c>
      <c r="N604" s="71">
        <v>26.569633</v>
      </c>
      <c r="O604" s="71">
        <v>97.745480999999998</v>
      </c>
      <c r="P604" s="17" t="s">
        <v>761</v>
      </c>
      <c r="Q604" s="71" t="s">
        <v>762</v>
      </c>
      <c r="R604" s="422">
        <v>111</v>
      </c>
      <c r="S604" s="422">
        <v>564</v>
      </c>
      <c r="T604" s="105"/>
      <c r="U604" s="101"/>
      <c r="V604" s="71" t="s">
        <v>1071</v>
      </c>
      <c r="X604" s="542"/>
      <c r="Y604" s="542"/>
      <c r="Z604" s="542"/>
    </row>
    <row r="605" spans="1:26" s="71" customFormat="1" ht="14.25" customHeight="1">
      <c r="A605" s="419" t="s">
        <v>38</v>
      </c>
      <c r="B605" s="419" t="s">
        <v>178</v>
      </c>
      <c r="C605" s="419" t="s">
        <v>1124</v>
      </c>
      <c r="D605" s="472" t="s">
        <v>1654</v>
      </c>
      <c r="E605" s="419"/>
      <c r="F605" s="419"/>
      <c r="G605" s="419"/>
      <c r="H605" s="419"/>
      <c r="I605" s="419"/>
      <c r="J605" s="419" t="s">
        <v>44</v>
      </c>
      <c r="K605" s="419" t="s">
        <v>44</v>
      </c>
      <c r="L605" s="419" t="s">
        <v>1087</v>
      </c>
      <c r="M605" s="419" t="s">
        <v>45</v>
      </c>
      <c r="N605" s="419"/>
      <c r="O605" s="419"/>
      <c r="P605" s="71" t="s">
        <v>761</v>
      </c>
      <c r="Q605" s="419"/>
      <c r="R605" s="422"/>
      <c r="S605" s="423"/>
      <c r="T605" s="442"/>
      <c r="U605" s="424"/>
      <c r="V605" s="419" t="s">
        <v>1124</v>
      </c>
      <c r="X605" s="542"/>
      <c r="Y605" s="542"/>
      <c r="Z605" s="542"/>
    </row>
    <row r="606" spans="1:26" s="71" customFormat="1" ht="14.25" customHeight="1">
      <c r="A606" s="419" t="s">
        <v>38</v>
      </c>
      <c r="B606" s="420" t="s">
        <v>178</v>
      </c>
      <c r="C606" s="420" t="s">
        <v>181</v>
      </c>
      <c r="D606" s="472" t="s">
        <v>2897</v>
      </c>
      <c r="E606" s="71" t="s">
        <v>1601</v>
      </c>
      <c r="F606" s="71">
        <v>0</v>
      </c>
      <c r="G606" s="71">
        <v>0</v>
      </c>
      <c r="H606" s="71" t="s">
        <v>42</v>
      </c>
      <c r="I606" s="71" t="s">
        <v>2726</v>
      </c>
      <c r="J606" s="71" t="s">
        <v>44</v>
      </c>
      <c r="K606" s="71" t="s">
        <v>44</v>
      </c>
      <c r="L606" s="71" t="s">
        <v>44</v>
      </c>
      <c r="M606" s="71" t="s">
        <v>778</v>
      </c>
      <c r="N606" s="71">
        <v>26.548506</v>
      </c>
      <c r="O606" s="71">
        <v>97.75609</v>
      </c>
      <c r="P606" s="17" t="s">
        <v>761</v>
      </c>
      <c r="Q606" s="71" t="s">
        <v>762</v>
      </c>
      <c r="R606" s="422">
        <v>67</v>
      </c>
      <c r="S606" s="422">
        <v>311</v>
      </c>
      <c r="T606" s="105">
        <v>42788</v>
      </c>
      <c r="U606" s="101"/>
      <c r="W606" s="419"/>
      <c r="X606" s="542"/>
      <c r="Y606" s="542"/>
      <c r="Z606" s="542"/>
    </row>
    <row r="607" spans="1:26" s="71" customFormat="1" ht="14.25" customHeight="1">
      <c r="A607" s="419" t="s">
        <v>38</v>
      </c>
      <c r="B607" s="420" t="s">
        <v>178</v>
      </c>
      <c r="C607" s="420" t="s">
        <v>178</v>
      </c>
      <c r="D607" s="472" t="s">
        <v>2897</v>
      </c>
      <c r="E607" s="71" t="s">
        <v>1600</v>
      </c>
      <c r="F607" s="71" t="s">
        <v>1868</v>
      </c>
      <c r="G607" s="71">
        <v>0</v>
      </c>
      <c r="I607" s="420" t="s">
        <v>2142</v>
      </c>
      <c r="J607" s="71" t="s">
        <v>44</v>
      </c>
      <c r="K607" s="71" t="s">
        <v>44</v>
      </c>
      <c r="L607" s="71" t="s">
        <v>776</v>
      </c>
      <c r="M607" s="71" t="s">
        <v>45</v>
      </c>
      <c r="N607" s="71">
        <v>26.541930000000001</v>
      </c>
      <c r="O607" s="71">
        <v>97.568836000000005</v>
      </c>
      <c r="P607" s="71" t="s">
        <v>761</v>
      </c>
      <c r="Q607" s="71" t="s">
        <v>762</v>
      </c>
      <c r="R607" s="422">
        <v>5</v>
      </c>
      <c r="S607" s="422">
        <v>32</v>
      </c>
      <c r="T607" s="105"/>
      <c r="U607" s="101" t="s">
        <v>1070</v>
      </c>
      <c r="V607" s="71" t="s">
        <v>178</v>
      </c>
      <c r="X607" s="542"/>
      <c r="Y607" s="542"/>
      <c r="Z607" s="542"/>
    </row>
    <row r="608" spans="1:26" s="71" customFormat="1" ht="14.25" customHeight="1">
      <c r="A608" s="420" t="s">
        <v>38</v>
      </c>
      <c r="B608" s="420" t="s">
        <v>178</v>
      </c>
      <c r="C608" s="420" t="s">
        <v>1152</v>
      </c>
      <c r="D608" s="472" t="s">
        <v>1654</v>
      </c>
      <c r="E608" s="420"/>
      <c r="H608" s="420"/>
      <c r="I608" s="420"/>
      <c r="J608" s="420" t="s">
        <v>1449</v>
      </c>
      <c r="K608" s="420" t="s">
        <v>44</v>
      </c>
      <c r="L608" s="420" t="s">
        <v>760</v>
      </c>
      <c r="M608" s="420" t="s">
        <v>45</v>
      </c>
      <c r="N608" s="420"/>
      <c r="O608" s="420"/>
      <c r="P608" s="71" t="s">
        <v>761</v>
      </c>
      <c r="Q608" s="420" t="s">
        <v>762</v>
      </c>
      <c r="R608" s="426"/>
      <c r="S608" s="427"/>
      <c r="T608" s="443">
        <v>42788</v>
      </c>
      <c r="U608" s="428"/>
      <c r="W608" s="419"/>
      <c r="X608" s="542"/>
      <c r="Y608" s="542"/>
      <c r="Z608" s="542"/>
    </row>
    <row r="609" spans="1:26" s="71" customFormat="1" ht="14.25" customHeight="1">
      <c r="A609" s="427" t="s">
        <v>38</v>
      </c>
      <c r="B609" s="426" t="s">
        <v>1139</v>
      </c>
      <c r="C609" s="427" t="s">
        <v>1997</v>
      </c>
      <c r="D609" s="473"/>
      <c r="E609" s="420"/>
      <c r="F609" s="420"/>
      <c r="G609" s="420"/>
      <c r="H609" s="420"/>
      <c r="I609" s="420"/>
      <c r="J609" s="420" t="s">
        <v>1449</v>
      </c>
      <c r="K609" s="420" t="s">
        <v>44</v>
      </c>
      <c r="L609" s="420" t="s">
        <v>776</v>
      </c>
      <c r="M609" s="420"/>
      <c r="N609" s="420"/>
      <c r="O609" s="420"/>
      <c r="P609" s="420" t="s">
        <v>1995</v>
      </c>
      <c r="Q609" s="420" t="s">
        <v>1950</v>
      </c>
      <c r="R609" s="431"/>
      <c r="S609" s="427"/>
      <c r="T609" s="443">
        <v>43285</v>
      </c>
      <c r="U609" s="428" t="s">
        <v>2002</v>
      </c>
      <c r="V609" s="420"/>
      <c r="X609" s="542"/>
      <c r="Y609" s="542"/>
      <c r="Z609" s="542"/>
    </row>
    <row r="610" spans="1:26" s="71" customFormat="1" ht="14.25" customHeight="1">
      <c r="A610" s="427" t="s">
        <v>38</v>
      </c>
      <c r="B610" s="426" t="s">
        <v>1139</v>
      </c>
      <c r="C610" s="427" t="s">
        <v>1998</v>
      </c>
      <c r="D610" s="421"/>
      <c r="J610" s="71" t="s">
        <v>1449</v>
      </c>
      <c r="K610" s="420" t="s">
        <v>44</v>
      </c>
      <c r="L610" s="420" t="s">
        <v>776</v>
      </c>
      <c r="P610" s="71" t="s">
        <v>1995</v>
      </c>
      <c r="Q610" s="71" t="s">
        <v>1950</v>
      </c>
      <c r="R610" s="430"/>
      <c r="S610" s="423"/>
      <c r="T610" s="105">
        <v>43285</v>
      </c>
      <c r="U610" s="428" t="s">
        <v>2002</v>
      </c>
      <c r="W610" s="419"/>
      <c r="X610" s="542"/>
      <c r="Y610" s="542"/>
      <c r="Z610" s="542"/>
    </row>
    <row r="611" spans="1:26" s="71" customFormat="1" ht="14.25" customHeight="1">
      <c r="A611" s="419" t="s">
        <v>38</v>
      </c>
      <c r="B611" s="420" t="s">
        <v>1139</v>
      </c>
      <c r="C611" s="420" t="s">
        <v>2255</v>
      </c>
      <c r="D611" s="472" t="s">
        <v>2897</v>
      </c>
      <c r="E611" s="71" t="s">
        <v>1616</v>
      </c>
      <c r="F611" s="71" t="s">
        <v>1139</v>
      </c>
      <c r="G611" s="71">
        <v>0</v>
      </c>
      <c r="H611" s="71" t="s">
        <v>42</v>
      </c>
      <c r="I611" s="71" t="s">
        <v>1314</v>
      </c>
      <c r="J611" s="71" t="s">
        <v>44</v>
      </c>
      <c r="K611" s="71" t="s">
        <v>44</v>
      </c>
      <c r="L611" s="420" t="s">
        <v>44</v>
      </c>
      <c r="M611" s="71" t="s">
        <v>45</v>
      </c>
      <c r="N611" s="419">
        <v>0</v>
      </c>
      <c r="O611" s="419">
        <v>0</v>
      </c>
      <c r="P611" s="71" t="s">
        <v>761</v>
      </c>
      <c r="Q611" s="71" t="s">
        <v>926</v>
      </c>
      <c r="R611" s="422">
        <v>145</v>
      </c>
      <c r="S611" s="422">
        <v>644</v>
      </c>
      <c r="T611" s="105">
        <v>43444</v>
      </c>
      <c r="U611" s="200" t="s">
        <v>2254</v>
      </c>
      <c r="V611" s="71" t="s">
        <v>1143</v>
      </c>
      <c r="W611" s="413" t="s">
        <v>2254</v>
      </c>
      <c r="X611" s="542"/>
      <c r="Y611" s="542"/>
      <c r="Z611" s="542"/>
    </row>
    <row r="612" spans="1:26" s="71" customFormat="1" ht="14.25" customHeight="1">
      <c r="A612" s="419" t="s">
        <v>38</v>
      </c>
      <c r="B612" s="420" t="s">
        <v>1139</v>
      </c>
      <c r="C612" s="420" t="s">
        <v>1987</v>
      </c>
      <c r="D612" s="472" t="s">
        <v>2257</v>
      </c>
      <c r="E612" s="71" t="s">
        <v>1613</v>
      </c>
      <c r="F612" s="71" t="s">
        <v>1139</v>
      </c>
      <c r="G612" s="71">
        <v>0</v>
      </c>
      <c r="I612" s="71" t="s">
        <v>2142</v>
      </c>
      <c r="J612" s="71" t="s">
        <v>44</v>
      </c>
      <c r="K612" s="71" t="s">
        <v>44</v>
      </c>
      <c r="L612" s="71" t="s">
        <v>760</v>
      </c>
      <c r="M612" s="71" t="s">
        <v>45</v>
      </c>
      <c r="P612" s="71" t="s">
        <v>761</v>
      </c>
      <c r="Q612" s="71" t="s">
        <v>926</v>
      </c>
      <c r="R612" s="422"/>
      <c r="S612" s="422"/>
      <c r="T612" s="105">
        <v>43444</v>
      </c>
      <c r="U612" s="101" t="s">
        <v>2728</v>
      </c>
      <c r="W612" s="419" t="s">
        <v>2256</v>
      </c>
      <c r="X612" s="542"/>
      <c r="Y612" s="542"/>
      <c r="Z612" s="542"/>
    </row>
    <row r="613" spans="1:26" s="71" customFormat="1" ht="14.25" customHeight="1">
      <c r="A613" s="419" t="s">
        <v>38</v>
      </c>
      <c r="B613" s="420" t="s">
        <v>1139</v>
      </c>
      <c r="C613" s="420" t="s">
        <v>1141</v>
      </c>
      <c r="D613" s="472" t="s">
        <v>2897</v>
      </c>
      <c r="E613" s="71" t="s">
        <v>1614</v>
      </c>
      <c r="F613" s="71" t="s">
        <v>1139</v>
      </c>
      <c r="G613" s="71">
        <v>0</v>
      </c>
      <c r="H613" s="71" t="s">
        <v>42</v>
      </c>
      <c r="I613" s="71" t="s">
        <v>1314</v>
      </c>
      <c r="J613" s="71" t="s">
        <v>44</v>
      </c>
      <c r="K613" s="419" t="s">
        <v>44</v>
      </c>
      <c r="L613" s="420" t="s">
        <v>44</v>
      </c>
      <c r="M613" s="71" t="s">
        <v>45</v>
      </c>
      <c r="N613" s="71">
        <v>0</v>
      </c>
      <c r="O613" s="71">
        <v>0</v>
      </c>
      <c r="P613" s="71" t="s">
        <v>761</v>
      </c>
      <c r="Q613" s="71" t="s">
        <v>926</v>
      </c>
      <c r="R613" s="422">
        <v>34</v>
      </c>
      <c r="S613" s="422">
        <v>147</v>
      </c>
      <c r="T613" s="105">
        <v>42983</v>
      </c>
      <c r="U613" s="101" t="s">
        <v>1140</v>
      </c>
      <c r="W613" s="413" t="s">
        <v>2286</v>
      </c>
      <c r="X613" s="542"/>
      <c r="Y613" s="542"/>
      <c r="Z613" s="542"/>
    </row>
    <row r="614" spans="1:26" s="71" customFormat="1" ht="14.25" customHeight="1">
      <c r="A614" s="419" t="s">
        <v>38</v>
      </c>
      <c r="B614" s="420" t="s">
        <v>1139</v>
      </c>
      <c r="C614" s="420" t="s">
        <v>2138</v>
      </c>
      <c r="D614" s="472" t="s">
        <v>2897</v>
      </c>
      <c r="E614" s="71" t="s">
        <v>1615</v>
      </c>
      <c r="F614" s="71" t="s">
        <v>1139</v>
      </c>
      <c r="G614" s="71">
        <v>0</v>
      </c>
      <c r="H614" s="71" t="s">
        <v>42</v>
      </c>
      <c r="I614" s="71" t="s">
        <v>2726</v>
      </c>
      <c r="J614" s="71" t="s">
        <v>44</v>
      </c>
      <c r="K614" s="71" t="s">
        <v>44</v>
      </c>
      <c r="L614" s="71" t="s">
        <v>44</v>
      </c>
      <c r="M614" s="71" t="s">
        <v>45</v>
      </c>
      <c r="N614" s="71">
        <v>0</v>
      </c>
      <c r="O614" s="71">
        <v>0</v>
      </c>
      <c r="P614" s="71" t="s">
        <v>761</v>
      </c>
      <c r="Q614" s="71" t="s">
        <v>926</v>
      </c>
      <c r="R614" s="422">
        <v>97</v>
      </c>
      <c r="S614" s="422">
        <v>365</v>
      </c>
      <c r="T614" s="105">
        <v>42983</v>
      </c>
      <c r="U614" s="101" t="s">
        <v>1142</v>
      </c>
      <c r="W614" s="413" t="s">
        <v>2287</v>
      </c>
      <c r="X614" s="542"/>
      <c r="Y614" s="542"/>
      <c r="Z614" s="542"/>
    </row>
    <row r="615" spans="1:26" s="71" customFormat="1" ht="14.25" customHeight="1">
      <c r="A615" s="427" t="s">
        <v>38</v>
      </c>
      <c r="B615" s="426" t="s">
        <v>1139</v>
      </c>
      <c r="C615" s="420" t="s">
        <v>1959</v>
      </c>
      <c r="D615" s="421"/>
      <c r="J615" s="71" t="s">
        <v>1449</v>
      </c>
      <c r="K615" s="71" t="s">
        <v>44</v>
      </c>
      <c r="L615" s="71" t="s">
        <v>44</v>
      </c>
      <c r="M615" s="71" t="s">
        <v>45</v>
      </c>
      <c r="P615" s="71" t="s">
        <v>761</v>
      </c>
      <c r="Q615" s="71" t="s">
        <v>1950</v>
      </c>
      <c r="R615" s="430"/>
      <c r="S615" s="100"/>
      <c r="T615" s="105">
        <v>43270</v>
      </c>
      <c r="U615" s="101"/>
      <c r="W615" s="419"/>
      <c r="X615" s="542"/>
      <c r="Y615" s="542"/>
      <c r="Z615" s="542"/>
    </row>
    <row r="616" spans="1:26" s="71" customFormat="1" ht="14.25" customHeight="1">
      <c r="A616" s="419" t="s">
        <v>38</v>
      </c>
      <c r="B616" s="419" t="s">
        <v>136</v>
      </c>
      <c r="C616" s="419" t="s">
        <v>230</v>
      </c>
      <c r="D616" s="472" t="s">
        <v>2897</v>
      </c>
      <c r="E616" s="419" t="s">
        <v>1515</v>
      </c>
      <c r="F616" s="419" t="s">
        <v>1802</v>
      </c>
      <c r="G616" s="419" t="s">
        <v>1800</v>
      </c>
      <c r="H616" s="419" t="s">
        <v>42</v>
      </c>
      <c r="I616" s="419" t="s">
        <v>1314</v>
      </c>
      <c r="J616" s="419" t="s">
        <v>44</v>
      </c>
      <c r="K616" s="419" t="s">
        <v>44</v>
      </c>
      <c r="L616" s="419" t="s">
        <v>44</v>
      </c>
      <c r="M616" s="419" t="s">
        <v>778</v>
      </c>
      <c r="N616" s="419">
        <v>25.220278</v>
      </c>
      <c r="O616" s="419">
        <v>97.915833000000006</v>
      </c>
      <c r="P616" s="419" t="s">
        <v>761</v>
      </c>
      <c r="Q616" s="419" t="s">
        <v>780</v>
      </c>
      <c r="R616" s="422">
        <v>117</v>
      </c>
      <c r="S616" s="422">
        <v>421</v>
      </c>
      <c r="T616" s="442"/>
      <c r="U616" s="424"/>
      <c r="V616" s="419" t="s">
        <v>230</v>
      </c>
      <c r="W616" s="419"/>
      <c r="X616" s="542"/>
      <c r="Y616" s="542"/>
      <c r="Z616" s="542"/>
    </row>
    <row r="617" spans="1:26" s="71" customFormat="1" ht="14.25" customHeight="1">
      <c r="A617" s="419" t="s">
        <v>38</v>
      </c>
      <c r="B617" s="419" t="s">
        <v>136</v>
      </c>
      <c r="C617" s="419" t="s">
        <v>213</v>
      </c>
      <c r="D617" s="472" t="s">
        <v>1654</v>
      </c>
      <c r="J617" s="71" t="s">
        <v>1449</v>
      </c>
      <c r="K617" s="71" t="s">
        <v>44</v>
      </c>
      <c r="L617" s="71" t="s">
        <v>1027</v>
      </c>
      <c r="M617" s="71" t="s">
        <v>778</v>
      </c>
      <c r="N617" s="419"/>
      <c r="O617" s="419"/>
      <c r="P617" s="71" t="s">
        <v>761</v>
      </c>
      <c r="Q617" s="71" t="s">
        <v>780</v>
      </c>
      <c r="R617" s="422"/>
      <c r="S617" s="100"/>
      <c r="T617" s="105"/>
      <c r="U617" s="101" t="s">
        <v>1095</v>
      </c>
      <c r="V617" s="71" t="s">
        <v>213</v>
      </c>
      <c r="W617" s="419"/>
      <c r="X617" s="542"/>
      <c r="Y617" s="542"/>
      <c r="Z617" s="542"/>
    </row>
    <row r="618" spans="1:26" s="71" customFormat="1" ht="14.25" customHeight="1">
      <c r="A618" s="419" t="s">
        <v>38</v>
      </c>
      <c r="B618" s="419" t="s">
        <v>136</v>
      </c>
      <c r="C618" s="419" t="s">
        <v>214</v>
      </c>
      <c r="D618" s="472" t="s">
        <v>1654</v>
      </c>
      <c r="F618" s="419"/>
      <c r="J618" s="71" t="s">
        <v>1449</v>
      </c>
      <c r="K618" s="419" t="s">
        <v>44</v>
      </c>
      <c r="L618" s="419" t="s">
        <v>1027</v>
      </c>
      <c r="M618" s="71" t="s">
        <v>778</v>
      </c>
      <c r="P618" s="71" t="s">
        <v>761</v>
      </c>
      <c r="Q618" s="71" t="s">
        <v>780</v>
      </c>
      <c r="R618" s="99"/>
      <c r="S618" s="423"/>
      <c r="T618" s="105"/>
      <c r="U618" s="101" t="s">
        <v>1095</v>
      </c>
      <c r="V618" s="71" t="s">
        <v>214</v>
      </c>
      <c r="W618" s="419"/>
      <c r="X618" s="542"/>
      <c r="Y618" s="542"/>
      <c r="Z618" s="542"/>
    </row>
    <row r="619" spans="1:26" s="71" customFormat="1" ht="14.25" customHeight="1">
      <c r="A619" s="419" t="s">
        <v>38</v>
      </c>
      <c r="B619" s="419" t="s">
        <v>136</v>
      </c>
      <c r="C619" s="419" t="s">
        <v>1043</v>
      </c>
      <c r="D619" s="472" t="s">
        <v>2897</v>
      </c>
      <c r="E619" s="71" t="s">
        <v>1522</v>
      </c>
      <c r="F619" s="71" t="s">
        <v>1866</v>
      </c>
      <c r="G619" s="71" t="s">
        <v>1867</v>
      </c>
      <c r="I619" s="420" t="s">
        <v>2142</v>
      </c>
      <c r="J619" s="71" t="s">
        <v>44</v>
      </c>
      <c r="K619" s="71" t="s">
        <v>44</v>
      </c>
      <c r="L619" s="71" t="s">
        <v>776</v>
      </c>
      <c r="M619" s="71" t="s">
        <v>45</v>
      </c>
      <c r="N619" s="71">
        <v>25.305008999999998</v>
      </c>
      <c r="O619" s="71">
        <v>97.430321000000006</v>
      </c>
      <c r="P619" s="71" t="s">
        <v>761</v>
      </c>
      <c r="Q619" s="71" t="s">
        <v>802</v>
      </c>
      <c r="R619" s="422">
        <v>62</v>
      </c>
      <c r="S619" s="422">
        <v>410</v>
      </c>
      <c r="T619" s="105">
        <v>42916</v>
      </c>
      <c r="U619" s="101" t="s">
        <v>1044</v>
      </c>
      <c r="W619" s="419"/>
      <c r="X619" s="542"/>
      <c r="Y619" s="542"/>
      <c r="Z619" s="542"/>
    </row>
    <row r="620" spans="1:26" s="71" customFormat="1" ht="14.25" customHeight="1">
      <c r="A620" s="419" t="s">
        <v>38</v>
      </c>
      <c r="B620" s="419" t="s">
        <v>136</v>
      </c>
      <c r="C620" s="419" t="s">
        <v>262</v>
      </c>
      <c r="D620" s="472" t="s">
        <v>2897</v>
      </c>
      <c r="E620" s="71" t="s">
        <v>1524</v>
      </c>
      <c r="F620" s="71" t="s">
        <v>1807</v>
      </c>
      <c r="G620" s="71" t="s">
        <v>1807</v>
      </c>
      <c r="H620" s="71" t="s">
        <v>42</v>
      </c>
      <c r="I620" s="71" t="s">
        <v>236</v>
      </c>
      <c r="J620" s="71" t="s">
        <v>44</v>
      </c>
      <c r="K620" s="71" t="s">
        <v>44</v>
      </c>
      <c r="L620" s="71" t="s">
        <v>44</v>
      </c>
      <c r="M620" s="71" t="s">
        <v>45</v>
      </c>
      <c r="N620" s="71">
        <v>25.321710740740698</v>
      </c>
      <c r="O620" s="71">
        <v>97.404195925926004</v>
      </c>
      <c r="P620" s="71" t="s">
        <v>761</v>
      </c>
      <c r="Q620" s="71" t="s">
        <v>780</v>
      </c>
      <c r="R620" s="422">
        <v>92</v>
      </c>
      <c r="S620" s="422">
        <v>448</v>
      </c>
      <c r="T620" s="105"/>
      <c r="U620" s="101"/>
      <c r="V620" s="71" t="s">
        <v>262</v>
      </c>
      <c r="X620" s="542"/>
      <c r="Y620" s="542"/>
      <c r="Z620" s="542"/>
    </row>
    <row r="621" spans="1:26" s="71" customFormat="1" ht="14.25" customHeight="1">
      <c r="A621" s="419" t="s">
        <v>38</v>
      </c>
      <c r="B621" s="419" t="s">
        <v>136</v>
      </c>
      <c r="C621" s="419" t="s">
        <v>169</v>
      </c>
      <c r="D621" s="472" t="s">
        <v>2897</v>
      </c>
      <c r="E621" s="71" t="s">
        <v>1514</v>
      </c>
      <c r="F621" s="71" t="s">
        <v>1800</v>
      </c>
      <c r="G621" s="71" t="s">
        <v>1801</v>
      </c>
      <c r="H621" s="71" t="s">
        <v>42</v>
      </c>
      <c r="I621" s="71" t="s">
        <v>2726</v>
      </c>
      <c r="J621" s="71" t="s">
        <v>44</v>
      </c>
      <c r="K621" s="71" t="s">
        <v>44</v>
      </c>
      <c r="L621" s="71" t="s">
        <v>44</v>
      </c>
      <c r="M621" s="71" t="s">
        <v>778</v>
      </c>
      <c r="N621" s="419">
        <v>25.200333000000001</v>
      </c>
      <c r="O621" s="419">
        <v>97.807182999999995</v>
      </c>
      <c r="P621" s="71" t="s">
        <v>761</v>
      </c>
      <c r="Q621" s="71" t="s">
        <v>780</v>
      </c>
      <c r="R621" s="422">
        <v>136</v>
      </c>
      <c r="S621" s="422">
        <v>985</v>
      </c>
      <c r="T621" s="105"/>
      <c r="U621" s="101"/>
      <c r="V621" s="71" t="s">
        <v>169</v>
      </c>
      <c r="W621" s="419"/>
      <c r="X621" s="542"/>
      <c r="Y621" s="542"/>
      <c r="Z621" s="542"/>
    </row>
    <row r="622" spans="1:26" s="71" customFormat="1" ht="14.25" customHeight="1">
      <c r="A622" s="419" t="s">
        <v>38</v>
      </c>
      <c r="B622" s="419" t="s">
        <v>136</v>
      </c>
      <c r="C622" s="419" t="s">
        <v>218</v>
      </c>
      <c r="D622" s="472" t="s">
        <v>2897</v>
      </c>
      <c r="E622" s="71" t="s">
        <v>1502</v>
      </c>
      <c r="F622" s="419" t="s">
        <v>1707</v>
      </c>
      <c r="G622" s="71">
        <v>0</v>
      </c>
      <c r="I622" s="420" t="s">
        <v>2142</v>
      </c>
      <c r="J622" s="71" t="s">
        <v>44</v>
      </c>
      <c r="K622" s="71" t="s">
        <v>44</v>
      </c>
      <c r="L622" s="71" t="s">
        <v>1027</v>
      </c>
      <c r="M622" s="71" t="s">
        <v>778</v>
      </c>
      <c r="N622" s="419">
        <v>24.752471</v>
      </c>
      <c r="O622" s="419">
        <v>97.541793999999996</v>
      </c>
      <c r="P622" s="71" t="s">
        <v>761</v>
      </c>
      <c r="Q622" s="71" t="s">
        <v>762</v>
      </c>
      <c r="R622" s="99">
        <v>0</v>
      </c>
      <c r="S622" s="422">
        <v>872</v>
      </c>
      <c r="T622" s="105"/>
      <c r="U622" s="101"/>
      <c r="V622" s="71" t="s">
        <v>218</v>
      </c>
      <c r="W622" s="419"/>
      <c r="X622" s="542"/>
      <c r="Y622" s="542"/>
      <c r="Z622" s="542"/>
    </row>
    <row r="623" spans="1:26" s="71" customFormat="1" ht="14.25" customHeight="1">
      <c r="A623" s="419" t="s">
        <v>38</v>
      </c>
      <c r="B623" s="419" t="s">
        <v>136</v>
      </c>
      <c r="C623" s="419" t="s">
        <v>1025</v>
      </c>
      <c r="D623" s="472" t="s">
        <v>1655</v>
      </c>
      <c r="E623" s="71" t="s">
        <v>1501</v>
      </c>
      <c r="F623" s="71" t="s">
        <v>1707</v>
      </c>
      <c r="G623" s="71" t="s">
        <v>1707</v>
      </c>
      <c r="H623" s="71" t="s">
        <v>42</v>
      </c>
      <c r="I623" s="71" t="s">
        <v>1314</v>
      </c>
      <c r="J623" s="71" t="s">
        <v>44</v>
      </c>
      <c r="K623" s="71" t="s">
        <v>44</v>
      </c>
      <c r="L623" s="71" t="s">
        <v>760</v>
      </c>
      <c r="M623" s="71" t="s">
        <v>778</v>
      </c>
      <c r="N623" s="419">
        <v>24.747212999999999</v>
      </c>
      <c r="O623" s="419">
        <v>97.551507000000001</v>
      </c>
      <c r="P623" s="71" t="s">
        <v>761</v>
      </c>
      <c r="R623" s="99"/>
      <c r="S623" s="100"/>
      <c r="T623" s="105"/>
      <c r="U623" s="101"/>
      <c r="V623" s="419" t="s">
        <v>1026</v>
      </c>
      <c r="W623" s="413" t="s">
        <v>2188</v>
      </c>
      <c r="X623" s="542"/>
      <c r="Y623" s="542"/>
      <c r="Z623" s="542"/>
    </row>
    <row r="624" spans="1:26" s="71" customFormat="1" ht="14.25" customHeight="1">
      <c r="A624" s="419" t="s">
        <v>38</v>
      </c>
      <c r="B624" s="419" t="s">
        <v>136</v>
      </c>
      <c r="C624" s="419" t="s">
        <v>1039</v>
      </c>
      <c r="D624" s="472" t="s">
        <v>1654</v>
      </c>
      <c r="E624" s="419" t="s">
        <v>1513</v>
      </c>
      <c r="F624" s="419"/>
      <c r="G624" s="419"/>
      <c r="H624" s="419"/>
      <c r="I624" s="419"/>
      <c r="J624" s="71" t="s">
        <v>44</v>
      </c>
      <c r="K624" s="71" t="s">
        <v>44</v>
      </c>
      <c r="L624" s="71" t="s">
        <v>760</v>
      </c>
      <c r="M624" s="419" t="s">
        <v>778</v>
      </c>
      <c r="N624" s="419">
        <v>25.108011999999999</v>
      </c>
      <c r="O624" s="419">
        <v>97.718008999999995</v>
      </c>
      <c r="P624" s="71" t="s">
        <v>761</v>
      </c>
      <c r="Q624" s="419"/>
      <c r="R624" s="422"/>
      <c r="S624" s="423"/>
      <c r="T624" s="442"/>
      <c r="U624" s="424"/>
      <c r="V624" s="419" t="s">
        <v>1039</v>
      </c>
      <c r="X624" s="542"/>
      <c r="Y624" s="542"/>
      <c r="Z624" s="542"/>
    </row>
    <row r="625" spans="1:26" s="71" customFormat="1" ht="14.25" customHeight="1">
      <c r="A625" s="419" t="s">
        <v>38</v>
      </c>
      <c r="B625" s="419" t="s">
        <v>136</v>
      </c>
      <c r="C625" s="419" t="s">
        <v>170</v>
      </c>
      <c r="D625" s="472" t="s">
        <v>2897</v>
      </c>
      <c r="E625" s="419" t="s">
        <v>1534</v>
      </c>
      <c r="F625" s="419" t="s">
        <v>1812</v>
      </c>
      <c r="G625" s="419" t="s">
        <v>1813</v>
      </c>
      <c r="H625" s="419" t="s">
        <v>42</v>
      </c>
      <c r="I625" s="419" t="s">
        <v>2726</v>
      </c>
      <c r="J625" s="419" t="s">
        <v>44</v>
      </c>
      <c r="K625" s="419" t="s">
        <v>44</v>
      </c>
      <c r="L625" s="419" t="s">
        <v>44</v>
      </c>
      <c r="M625" s="419" t="s">
        <v>45</v>
      </c>
      <c r="N625" s="419">
        <v>25.356632000000001</v>
      </c>
      <c r="O625" s="419">
        <v>97.451965000000001</v>
      </c>
      <c r="P625" s="419" t="s">
        <v>761</v>
      </c>
      <c r="Q625" s="419" t="s">
        <v>780</v>
      </c>
      <c r="R625" s="422">
        <v>32</v>
      </c>
      <c r="S625" s="422">
        <v>196</v>
      </c>
      <c r="T625" s="442"/>
      <c r="U625" s="424"/>
      <c r="V625" s="419" t="s">
        <v>170</v>
      </c>
      <c r="W625" s="419"/>
      <c r="X625" s="542"/>
      <c r="Y625" s="542"/>
      <c r="Z625" s="542"/>
    </row>
    <row r="626" spans="1:26" s="71" customFormat="1" ht="14.25" customHeight="1">
      <c r="A626" s="419" t="s">
        <v>38</v>
      </c>
      <c r="B626" s="419" t="s">
        <v>136</v>
      </c>
      <c r="C626" s="419" t="s">
        <v>171</v>
      </c>
      <c r="D626" s="472" t="s">
        <v>2897</v>
      </c>
      <c r="E626" s="71" t="s">
        <v>1508</v>
      </c>
      <c r="F626" s="71" t="s">
        <v>1797</v>
      </c>
      <c r="G626" s="71" t="s">
        <v>1799</v>
      </c>
      <c r="H626" s="71" t="s">
        <v>42</v>
      </c>
      <c r="I626" s="71" t="s">
        <v>1314</v>
      </c>
      <c r="J626" s="71" t="s">
        <v>44</v>
      </c>
      <c r="K626" s="419" t="s">
        <v>968</v>
      </c>
      <c r="L626" s="419" t="s">
        <v>44</v>
      </c>
      <c r="M626" s="71" t="s">
        <v>778</v>
      </c>
      <c r="N626" s="419">
        <v>24.980250000000002</v>
      </c>
      <c r="O626" s="419">
        <v>97.715230000000005</v>
      </c>
      <c r="P626" s="17" t="s">
        <v>761</v>
      </c>
      <c r="Q626" s="71" t="s">
        <v>780</v>
      </c>
      <c r="R626" s="99">
        <v>407</v>
      </c>
      <c r="S626" s="422">
        <v>1731</v>
      </c>
      <c r="T626" s="105"/>
      <c r="U626" s="101" t="s">
        <v>1032</v>
      </c>
      <c r="V626" s="71" t="s">
        <v>171</v>
      </c>
      <c r="X626" s="542"/>
      <c r="Y626" s="542"/>
      <c r="Z626" s="542"/>
    </row>
    <row r="627" spans="1:26" s="71" customFormat="1" ht="14.25" customHeight="1">
      <c r="A627" s="419" t="s">
        <v>38</v>
      </c>
      <c r="B627" s="419" t="s">
        <v>136</v>
      </c>
      <c r="C627" s="419" t="s">
        <v>263</v>
      </c>
      <c r="D627" s="472" t="s">
        <v>2897</v>
      </c>
      <c r="E627" s="71" t="s">
        <v>1560</v>
      </c>
      <c r="F627" s="71" t="s">
        <v>1820</v>
      </c>
      <c r="G627" s="71" t="s">
        <v>1820</v>
      </c>
      <c r="H627" s="71" t="s">
        <v>42</v>
      </c>
      <c r="I627" s="71" t="s">
        <v>236</v>
      </c>
      <c r="J627" s="71" t="s">
        <v>44</v>
      </c>
      <c r="K627" s="419" t="s">
        <v>44</v>
      </c>
      <c r="L627" s="419" t="s">
        <v>44</v>
      </c>
      <c r="M627" s="71" t="s">
        <v>45</v>
      </c>
      <c r="N627" s="419">
        <v>25.424529444444399</v>
      </c>
      <c r="O627" s="419">
        <v>97.433419259259296</v>
      </c>
      <c r="P627" s="419" t="s">
        <v>761</v>
      </c>
      <c r="Q627" s="71" t="s">
        <v>780</v>
      </c>
      <c r="R627" s="99">
        <v>346</v>
      </c>
      <c r="S627" s="422">
        <v>2059</v>
      </c>
      <c r="T627" s="105"/>
      <c r="U627" s="101"/>
      <c r="V627" s="71" t="s">
        <v>263</v>
      </c>
      <c r="W627" s="419"/>
      <c r="X627" s="542"/>
      <c r="Y627" s="542"/>
      <c r="Z627" s="542"/>
    </row>
    <row r="628" spans="1:26" s="71" customFormat="1" ht="14.25" customHeight="1">
      <c r="A628" s="419" t="s">
        <v>38</v>
      </c>
      <c r="B628" s="419" t="s">
        <v>136</v>
      </c>
      <c r="C628" s="419" t="s">
        <v>231</v>
      </c>
      <c r="D628" s="472" t="s">
        <v>2897</v>
      </c>
      <c r="E628" s="425" t="s">
        <v>1554</v>
      </c>
      <c r="F628" s="419" t="s">
        <v>1820</v>
      </c>
      <c r="G628" s="71" t="s">
        <v>1820</v>
      </c>
      <c r="H628" s="71" t="s">
        <v>42</v>
      </c>
      <c r="I628" s="71" t="s">
        <v>1314</v>
      </c>
      <c r="J628" s="71" t="s">
        <v>44</v>
      </c>
      <c r="K628" s="71" t="s">
        <v>44</v>
      </c>
      <c r="L628" s="71" t="s">
        <v>44</v>
      </c>
      <c r="M628" s="71" t="s">
        <v>45</v>
      </c>
      <c r="N628" s="419">
        <v>25.415667500000001</v>
      </c>
      <c r="O628" s="419">
        <v>97.437782499999997</v>
      </c>
      <c r="P628" s="71" t="s">
        <v>761</v>
      </c>
      <c r="Q628" s="71" t="s">
        <v>780</v>
      </c>
      <c r="R628" s="422">
        <v>327</v>
      </c>
      <c r="S628" s="422">
        <v>1785</v>
      </c>
      <c r="T628" s="105"/>
      <c r="U628" s="101"/>
      <c r="V628" s="71" t="s">
        <v>231</v>
      </c>
      <c r="X628" s="542"/>
      <c r="Y628" s="542"/>
      <c r="Z628" s="542"/>
    </row>
    <row r="629" spans="1:26" s="71" customFormat="1" ht="14.25" customHeight="1">
      <c r="A629" s="419" t="s">
        <v>38</v>
      </c>
      <c r="B629" s="419" t="s">
        <v>136</v>
      </c>
      <c r="C629" s="419" t="s">
        <v>172</v>
      </c>
      <c r="D629" s="472" t="s">
        <v>2897</v>
      </c>
      <c r="E629" s="71" t="s">
        <v>1551</v>
      </c>
      <c r="F629" s="71" t="s">
        <v>1820</v>
      </c>
      <c r="G629" s="71" t="s">
        <v>1820</v>
      </c>
      <c r="H629" s="71" t="s">
        <v>42</v>
      </c>
      <c r="I629" s="71" t="s">
        <v>2726</v>
      </c>
      <c r="J629" s="71" t="s">
        <v>44</v>
      </c>
      <c r="K629" s="71" t="s">
        <v>44</v>
      </c>
      <c r="L629" s="71" t="s">
        <v>44</v>
      </c>
      <c r="M629" s="71" t="s">
        <v>45</v>
      </c>
      <c r="N629" s="419">
        <v>25.4118005797101</v>
      </c>
      <c r="O629" s="419">
        <v>97.434855869565197</v>
      </c>
      <c r="P629" s="71" t="s">
        <v>761</v>
      </c>
      <c r="Q629" s="71" t="s">
        <v>780</v>
      </c>
      <c r="R629" s="99">
        <v>515</v>
      </c>
      <c r="S629" s="422">
        <v>2775</v>
      </c>
      <c r="T629" s="105"/>
      <c r="U629" s="101"/>
      <c r="V629" s="419" t="s">
        <v>172</v>
      </c>
      <c r="W629" s="413" t="s">
        <v>2288</v>
      </c>
      <c r="X629" s="542"/>
      <c r="Y629" s="542"/>
      <c r="Z629" s="542"/>
    </row>
    <row r="630" spans="1:26" s="71" customFormat="1" ht="14.25" customHeight="1">
      <c r="A630" s="419" t="s">
        <v>38</v>
      </c>
      <c r="B630" s="419" t="s">
        <v>136</v>
      </c>
      <c r="C630" s="71" t="s">
        <v>173</v>
      </c>
      <c r="D630" s="472" t="s">
        <v>2897</v>
      </c>
      <c r="E630" s="71" t="s">
        <v>1549</v>
      </c>
      <c r="F630" s="71" t="s">
        <v>1820</v>
      </c>
      <c r="G630" s="71" t="s">
        <v>1820</v>
      </c>
      <c r="H630" s="71" t="s">
        <v>42</v>
      </c>
      <c r="I630" s="71" t="s">
        <v>2726</v>
      </c>
      <c r="J630" s="71" t="s">
        <v>44</v>
      </c>
      <c r="K630" s="71" t="s">
        <v>44</v>
      </c>
      <c r="L630" s="71" t="s">
        <v>44</v>
      </c>
      <c r="M630" s="71" t="s">
        <v>45</v>
      </c>
      <c r="N630" s="419">
        <v>25.409612685185198</v>
      </c>
      <c r="O630" s="419">
        <v>97.426536944444507</v>
      </c>
      <c r="P630" s="71" t="s">
        <v>761</v>
      </c>
      <c r="Q630" s="71" t="s">
        <v>780</v>
      </c>
      <c r="R630" s="99">
        <v>55</v>
      </c>
      <c r="S630" s="422">
        <v>250</v>
      </c>
      <c r="T630" s="105"/>
      <c r="U630" s="101"/>
      <c r="V630" s="71" t="s">
        <v>173</v>
      </c>
      <c r="W630" s="413" t="s">
        <v>2289</v>
      </c>
      <c r="X630" s="542"/>
      <c r="Y630" s="542"/>
      <c r="Z630" s="542"/>
    </row>
    <row r="631" spans="1:26" s="71" customFormat="1" ht="14.25" customHeight="1">
      <c r="A631" s="419" t="s">
        <v>38</v>
      </c>
      <c r="B631" s="419" t="s">
        <v>136</v>
      </c>
      <c r="C631" s="419" t="s">
        <v>264</v>
      </c>
      <c r="D631" s="472" t="s">
        <v>2897</v>
      </c>
      <c r="E631" s="71" t="s">
        <v>1531</v>
      </c>
      <c r="F631" s="419" t="s">
        <v>1810</v>
      </c>
      <c r="G631" s="71" t="s">
        <v>1811</v>
      </c>
      <c r="H631" s="71" t="s">
        <v>42</v>
      </c>
      <c r="I631" s="71" t="s">
        <v>236</v>
      </c>
      <c r="J631" s="419" t="s">
        <v>44</v>
      </c>
      <c r="K631" s="419" t="s">
        <v>44</v>
      </c>
      <c r="L631" s="419" t="s">
        <v>44</v>
      </c>
      <c r="M631" s="71" t="s">
        <v>45</v>
      </c>
      <c r="N631" s="419">
        <v>25.351965</v>
      </c>
      <c r="O631" s="419">
        <v>97.345039</v>
      </c>
      <c r="P631" s="71" t="s">
        <v>761</v>
      </c>
      <c r="Q631" s="71" t="s">
        <v>780</v>
      </c>
      <c r="R631" s="422">
        <v>19</v>
      </c>
      <c r="S631" s="422">
        <v>82</v>
      </c>
      <c r="T631" s="105"/>
      <c r="U631" s="101"/>
      <c r="V631" s="71" t="s">
        <v>264</v>
      </c>
      <c r="X631" s="542"/>
      <c r="Y631" s="542"/>
      <c r="Z631" s="542"/>
    </row>
    <row r="632" spans="1:26" s="71" customFormat="1" ht="14.25" customHeight="1">
      <c r="A632" s="419" t="s">
        <v>38</v>
      </c>
      <c r="B632" s="419" t="s">
        <v>136</v>
      </c>
      <c r="C632" s="419" t="s">
        <v>174</v>
      </c>
      <c r="D632" s="472" t="s">
        <v>2897</v>
      </c>
      <c r="E632" s="71" t="s">
        <v>1507</v>
      </c>
      <c r="F632" s="71" t="s">
        <v>1797</v>
      </c>
      <c r="G632" s="71" t="s">
        <v>1798</v>
      </c>
      <c r="H632" s="71" t="s">
        <v>42</v>
      </c>
      <c r="I632" s="71" t="s">
        <v>2726</v>
      </c>
      <c r="J632" s="71" t="s">
        <v>44</v>
      </c>
      <c r="K632" s="71" t="s">
        <v>968</v>
      </c>
      <c r="L632" s="71" t="s">
        <v>44</v>
      </c>
      <c r="M632" s="71" t="s">
        <v>778</v>
      </c>
      <c r="N632" s="419">
        <v>24.831944</v>
      </c>
      <c r="O632" s="419">
        <v>97.751389000000003</v>
      </c>
      <c r="P632" s="71" t="s">
        <v>761</v>
      </c>
      <c r="Q632" s="71" t="s">
        <v>780</v>
      </c>
      <c r="R632" s="99">
        <v>185</v>
      </c>
      <c r="S632" s="422">
        <v>943</v>
      </c>
      <c r="T632" s="105"/>
      <c r="U632" s="101" t="s">
        <v>1032</v>
      </c>
      <c r="V632" s="71" t="s">
        <v>1033</v>
      </c>
      <c r="X632" s="542"/>
      <c r="Y632" s="542"/>
      <c r="Z632" s="542"/>
    </row>
    <row r="633" spans="1:26" s="71" customFormat="1" ht="14.25" customHeight="1">
      <c r="A633" s="419" t="s">
        <v>38</v>
      </c>
      <c r="B633" s="419" t="s">
        <v>136</v>
      </c>
      <c r="C633" s="419" t="s">
        <v>232</v>
      </c>
      <c r="D633" s="472" t="s">
        <v>2897</v>
      </c>
      <c r="E633" s="71" t="s">
        <v>1518</v>
      </c>
      <c r="F633" s="71" t="s">
        <v>1800</v>
      </c>
      <c r="G633" s="71" t="s">
        <v>1800</v>
      </c>
      <c r="H633" s="71" t="s">
        <v>42</v>
      </c>
      <c r="I633" s="71" t="s">
        <v>1314</v>
      </c>
      <c r="J633" s="71" t="s">
        <v>44</v>
      </c>
      <c r="K633" s="71" t="s">
        <v>44</v>
      </c>
      <c r="L633" s="71" t="s">
        <v>44</v>
      </c>
      <c r="M633" s="71" t="s">
        <v>778</v>
      </c>
      <c r="N633" s="71">
        <v>25.265277999999999</v>
      </c>
      <c r="O633" s="71">
        <v>97.990555999999998</v>
      </c>
      <c r="P633" s="71" t="s">
        <v>761</v>
      </c>
      <c r="Q633" s="71" t="s">
        <v>780</v>
      </c>
      <c r="R633" s="422">
        <v>79</v>
      </c>
      <c r="S633" s="422">
        <v>527</v>
      </c>
      <c r="T633" s="105"/>
      <c r="U633" s="101"/>
      <c r="V633" s="71" t="s">
        <v>232</v>
      </c>
      <c r="X633" s="542"/>
      <c r="Y633" s="542"/>
      <c r="Z633" s="542"/>
    </row>
    <row r="634" spans="1:26" s="71" customFormat="1" ht="14.25" customHeight="1">
      <c r="A634" s="419" t="s">
        <v>38</v>
      </c>
      <c r="B634" s="419" t="s">
        <v>136</v>
      </c>
      <c r="C634" s="419" t="s">
        <v>265</v>
      </c>
      <c r="D634" s="472" t="s">
        <v>2897</v>
      </c>
      <c r="E634" s="71" t="s">
        <v>1532</v>
      </c>
      <c r="F634" s="419" t="s">
        <v>1714</v>
      </c>
      <c r="G634" s="71" t="s">
        <v>1704</v>
      </c>
      <c r="H634" s="71" t="s">
        <v>42</v>
      </c>
      <c r="I634" s="71" t="s">
        <v>236</v>
      </c>
      <c r="J634" s="71" t="s">
        <v>44</v>
      </c>
      <c r="K634" s="71" t="s">
        <v>44</v>
      </c>
      <c r="L634" s="71" t="s">
        <v>44</v>
      </c>
      <c r="M634" s="71" t="s">
        <v>45</v>
      </c>
      <c r="N634" s="71">
        <v>25.3540362037037</v>
      </c>
      <c r="O634" s="71">
        <v>97.441166388888902</v>
      </c>
      <c r="P634" s="71" t="s">
        <v>761</v>
      </c>
      <c r="Q634" s="71" t="s">
        <v>780</v>
      </c>
      <c r="R634" s="99">
        <v>115</v>
      </c>
      <c r="S634" s="422">
        <v>493</v>
      </c>
      <c r="T634" s="105"/>
      <c r="U634" s="101"/>
      <c r="V634" s="71" t="s">
        <v>265</v>
      </c>
      <c r="X634" s="542"/>
      <c r="Y634" s="542"/>
      <c r="Z634" s="542"/>
    </row>
    <row r="635" spans="1:26" s="71" customFormat="1" ht="14.25" customHeight="1">
      <c r="A635" s="419" t="s">
        <v>38</v>
      </c>
      <c r="B635" s="419" t="s">
        <v>136</v>
      </c>
      <c r="C635" s="419" t="s">
        <v>175</v>
      </c>
      <c r="D635" s="472" t="s">
        <v>2897</v>
      </c>
      <c r="E635" s="71" t="s">
        <v>1530</v>
      </c>
      <c r="F635" s="71" t="s">
        <v>1714</v>
      </c>
      <c r="G635" s="71" t="s">
        <v>1704</v>
      </c>
      <c r="H635" s="71" t="s">
        <v>42</v>
      </c>
      <c r="I635" s="71" t="s">
        <v>2726</v>
      </c>
      <c r="J635" s="71" t="s">
        <v>44</v>
      </c>
      <c r="K635" s="71" t="s">
        <v>44</v>
      </c>
      <c r="L635" s="71" t="s">
        <v>44</v>
      </c>
      <c r="M635" s="71" t="s">
        <v>45</v>
      </c>
      <c r="N635" s="71">
        <v>25.351724999999998</v>
      </c>
      <c r="O635" s="71">
        <v>97.438432380952406</v>
      </c>
      <c r="P635" s="71" t="s">
        <v>761</v>
      </c>
      <c r="Q635" s="71" t="s">
        <v>780</v>
      </c>
      <c r="R635" s="422">
        <v>67</v>
      </c>
      <c r="S635" s="422">
        <v>341</v>
      </c>
      <c r="T635" s="105"/>
      <c r="U635" s="101"/>
      <c r="V635" s="71" t="s">
        <v>175</v>
      </c>
      <c r="W635" s="419"/>
      <c r="X635" s="542"/>
      <c r="Y635" s="542"/>
      <c r="Z635" s="542"/>
    </row>
    <row r="636" spans="1:26" s="71" customFormat="1" ht="14.25" customHeight="1">
      <c r="A636" s="419" t="s">
        <v>38</v>
      </c>
      <c r="B636" s="419" t="s">
        <v>136</v>
      </c>
      <c r="C636" s="419" t="s">
        <v>266</v>
      </c>
      <c r="D636" s="472" t="s">
        <v>2897</v>
      </c>
      <c r="E636" s="71" t="s">
        <v>1526</v>
      </c>
      <c r="F636" s="71" t="s">
        <v>1714</v>
      </c>
      <c r="G636" s="71" t="s">
        <v>1762</v>
      </c>
      <c r="H636" s="71" t="s">
        <v>42</v>
      </c>
      <c r="I636" s="71" t="s">
        <v>236</v>
      </c>
      <c r="J636" s="71" t="s">
        <v>44</v>
      </c>
      <c r="K636" s="71" t="s">
        <v>44</v>
      </c>
      <c r="L636" s="71" t="s">
        <v>44</v>
      </c>
      <c r="M636" s="71" t="s">
        <v>45</v>
      </c>
      <c r="N636" s="71">
        <v>25.345918166666699</v>
      </c>
      <c r="O636" s="71">
        <v>97.437472666666693</v>
      </c>
      <c r="P636" s="71" t="s">
        <v>761</v>
      </c>
      <c r="Q636" s="71" t="s">
        <v>780</v>
      </c>
      <c r="R636" s="422">
        <v>36</v>
      </c>
      <c r="S636" s="422">
        <v>189</v>
      </c>
      <c r="T636" s="105"/>
      <c r="U636" s="101"/>
      <c r="V636" s="71" t="s">
        <v>266</v>
      </c>
      <c r="W636" s="419"/>
      <c r="X636" s="542"/>
      <c r="Y636" s="542"/>
      <c r="Z636" s="542"/>
    </row>
    <row r="637" spans="1:26" s="71" customFormat="1" ht="14.25" customHeight="1">
      <c r="A637" s="419" t="s">
        <v>38</v>
      </c>
      <c r="B637" s="419" t="s">
        <v>136</v>
      </c>
      <c r="C637" s="419" t="s">
        <v>267</v>
      </c>
      <c r="D637" s="472" t="s">
        <v>2133</v>
      </c>
      <c r="E637" s="419" t="s">
        <v>1527</v>
      </c>
      <c r="F637" s="71" t="s">
        <v>1714</v>
      </c>
      <c r="G637" s="71" t="s">
        <v>1808</v>
      </c>
      <c r="H637" s="71" t="s">
        <v>42</v>
      </c>
      <c r="I637" s="71" t="s">
        <v>236</v>
      </c>
      <c r="J637" s="71" t="s">
        <v>44</v>
      </c>
      <c r="K637" s="71" t="s">
        <v>44</v>
      </c>
      <c r="L637" s="71" t="s">
        <v>760</v>
      </c>
      <c r="M637" s="71" t="s">
        <v>45</v>
      </c>
      <c r="N637" s="419">
        <v>25.350809000000002</v>
      </c>
      <c r="O637" s="419">
        <v>97.432495000000003</v>
      </c>
      <c r="P637" s="71" t="s">
        <v>761</v>
      </c>
      <c r="Q637" s="71" t="s">
        <v>780</v>
      </c>
      <c r="R637" s="422"/>
      <c r="S637" s="422"/>
      <c r="T637" s="105"/>
      <c r="U637" s="101"/>
      <c r="V637" s="71" t="s">
        <v>267</v>
      </c>
      <c r="W637" s="413" t="s">
        <v>2189</v>
      </c>
      <c r="X637" s="542"/>
      <c r="Y637" s="542"/>
      <c r="Z637" s="542"/>
    </row>
    <row r="638" spans="1:26" s="71" customFormat="1" ht="14.25" customHeight="1">
      <c r="A638" s="427" t="s">
        <v>38</v>
      </c>
      <c r="B638" s="426" t="s">
        <v>136</v>
      </c>
      <c r="C638" s="420" t="s">
        <v>1050</v>
      </c>
      <c r="D638" s="472" t="s">
        <v>2897</v>
      </c>
      <c r="E638" s="420" t="s">
        <v>1980</v>
      </c>
      <c r="F638" s="419" t="s">
        <v>1050</v>
      </c>
      <c r="G638" s="71" t="s">
        <v>1050</v>
      </c>
      <c r="H638" s="420"/>
      <c r="I638" s="420" t="s">
        <v>2142</v>
      </c>
      <c r="J638" s="71" t="s">
        <v>44</v>
      </c>
      <c r="K638" s="71" t="s">
        <v>44</v>
      </c>
      <c r="L638" s="420" t="s">
        <v>776</v>
      </c>
      <c r="M638" s="71" t="s">
        <v>45</v>
      </c>
      <c r="N638" s="71">
        <v>0</v>
      </c>
      <c r="O638" s="71">
        <v>0</v>
      </c>
      <c r="P638" s="17" t="s">
        <v>761</v>
      </c>
      <c r="Q638" s="419" t="s">
        <v>1950</v>
      </c>
      <c r="R638" s="422">
        <v>85</v>
      </c>
      <c r="S638" s="422">
        <v>455</v>
      </c>
      <c r="T638" s="442">
        <v>43276</v>
      </c>
      <c r="U638" s="428"/>
      <c r="V638" s="420"/>
      <c r="W638" s="71" t="s">
        <v>2190</v>
      </c>
      <c r="X638" s="542"/>
      <c r="Y638" s="542"/>
      <c r="Z638" s="542"/>
    </row>
    <row r="639" spans="1:26" s="71" customFormat="1" ht="14.25" customHeight="1">
      <c r="A639" s="419" t="s">
        <v>38</v>
      </c>
      <c r="B639" s="420" t="s">
        <v>136</v>
      </c>
      <c r="C639" s="420" t="s">
        <v>137</v>
      </c>
      <c r="D639" s="472" t="s">
        <v>2897</v>
      </c>
      <c r="E639" s="419" t="s">
        <v>1612</v>
      </c>
      <c r="F639" s="71" t="s">
        <v>1797</v>
      </c>
      <c r="G639" s="71" t="s">
        <v>1798</v>
      </c>
      <c r="H639" s="71" t="s">
        <v>42</v>
      </c>
      <c r="I639" s="71" t="s">
        <v>2726</v>
      </c>
      <c r="J639" s="71" t="s">
        <v>44</v>
      </c>
      <c r="K639" s="420" t="s">
        <v>44</v>
      </c>
      <c r="L639" s="420" t="s">
        <v>44</v>
      </c>
      <c r="M639" s="71" t="s">
        <v>778</v>
      </c>
      <c r="N639" s="419">
        <v>0</v>
      </c>
      <c r="O639" s="419">
        <v>0</v>
      </c>
      <c r="P639" s="17" t="s">
        <v>761</v>
      </c>
      <c r="Q639" s="71" t="s">
        <v>802</v>
      </c>
      <c r="R639" s="99">
        <v>398</v>
      </c>
      <c r="S639" s="422">
        <v>1834</v>
      </c>
      <c r="T639" s="105">
        <v>42916</v>
      </c>
      <c r="U639" s="101" t="s">
        <v>1136</v>
      </c>
      <c r="W639" s="413" t="s">
        <v>2290</v>
      </c>
      <c r="X639" s="542"/>
      <c r="Y639" s="542"/>
      <c r="Z639" s="542"/>
    </row>
    <row r="640" spans="1:26" s="71" customFormat="1" ht="14.25" customHeight="1">
      <c r="A640" s="419" t="s">
        <v>38</v>
      </c>
      <c r="B640" s="420" t="s">
        <v>136</v>
      </c>
      <c r="C640" s="420" t="s">
        <v>176</v>
      </c>
      <c r="D640" s="472" t="s">
        <v>2897</v>
      </c>
      <c r="E640" s="419" t="s">
        <v>1556</v>
      </c>
      <c r="F640" s="420" t="s">
        <v>1823</v>
      </c>
      <c r="G640" s="419" t="s">
        <v>1824</v>
      </c>
      <c r="H640" s="419" t="s">
        <v>42</v>
      </c>
      <c r="I640" s="419" t="s">
        <v>2726</v>
      </c>
      <c r="J640" s="71" t="s">
        <v>44</v>
      </c>
      <c r="K640" s="71" t="s">
        <v>44</v>
      </c>
      <c r="L640" s="71" t="s">
        <v>44</v>
      </c>
      <c r="M640" s="419" t="s">
        <v>45</v>
      </c>
      <c r="N640" s="419">
        <v>25.418084</v>
      </c>
      <c r="O640" s="419">
        <v>98.025662999999994</v>
      </c>
      <c r="P640" s="71" t="s">
        <v>761</v>
      </c>
      <c r="Q640" s="419" t="s">
        <v>780</v>
      </c>
      <c r="R640" s="422">
        <v>183</v>
      </c>
      <c r="S640" s="422">
        <v>1041</v>
      </c>
      <c r="T640" s="442"/>
      <c r="U640" s="424"/>
      <c r="V640" s="419" t="s">
        <v>176</v>
      </c>
      <c r="W640" s="413" t="s">
        <v>2291</v>
      </c>
      <c r="X640" s="542"/>
      <c r="Y640" s="542"/>
      <c r="Z640" s="542"/>
    </row>
    <row r="641" spans="1:26" s="71" customFormat="1" ht="14.25" customHeight="1">
      <c r="A641" s="419" t="s">
        <v>38</v>
      </c>
      <c r="B641" s="420" t="s">
        <v>136</v>
      </c>
      <c r="C641" s="420" t="s">
        <v>268</v>
      </c>
      <c r="D641" s="472" t="s">
        <v>2897</v>
      </c>
      <c r="E641" s="419" t="s">
        <v>1525</v>
      </c>
      <c r="F641" s="419" t="s">
        <v>1714</v>
      </c>
      <c r="G641" s="419" t="s">
        <v>1808</v>
      </c>
      <c r="H641" s="419" t="s">
        <v>42</v>
      </c>
      <c r="I641" s="419" t="s">
        <v>236</v>
      </c>
      <c r="J641" s="419" t="s">
        <v>44</v>
      </c>
      <c r="K641" s="419" t="s">
        <v>44</v>
      </c>
      <c r="L641" s="419" t="s">
        <v>44</v>
      </c>
      <c r="M641" s="419" t="s">
        <v>45</v>
      </c>
      <c r="N641" s="419">
        <v>25.333683333333301</v>
      </c>
      <c r="O641" s="419">
        <v>97.428251153846105</v>
      </c>
      <c r="P641" s="419" t="s">
        <v>761</v>
      </c>
      <c r="Q641" s="419" t="s">
        <v>780</v>
      </c>
      <c r="R641" s="422">
        <v>46</v>
      </c>
      <c r="S641" s="422">
        <v>190</v>
      </c>
      <c r="T641" s="442"/>
      <c r="U641" s="424"/>
      <c r="V641" s="419" t="s">
        <v>268</v>
      </c>
      <c r="W641" s="419"/>
      <c r="X641" s="542"/>
      <c r="Y641" s="542"/>
      <c r="Z641" s="542"/>
    </row>
    <row r="642" spans="1:26" s="71" customFormat="1" ht="14.25" customHeight="1">
      <c r="A642" s="427" t="s">
        <v>38</v>
      </c>
      <c r="B642" s="426" t="s">
        <v>136</v>
      </c>
      <c r="C642" s="420" t="s">
        <v>2134</v>
      </c>
      <c r="D642" s="472" t="s">
        <v>2897</v>
      </c>
      <c r="E642" s="420" t="s">
        <v>1977</v>
      </c>
      <c r="F642" s="420"/>
      <c r="G642" s="420"/>
      <c r="H642" s="71" t="s">
        <v>42</v>
      </c>
      <c r="I642" s="71" t="s">
        <v>2726</v>
      </c>
      <c r="J642" s="71" t="s">
        <v>44</v>
      </c>
      <c r="K642" s="71" t="s">
        <v>44</v>
      </c>
      <c r="L642" s="71" t="s">
        <v>44</v>
      </c>
      <c r="M642" s="71" t="s">
        <v>45</v>
      </c>
      <c r="N642" s="71">
        <v>0</v>
      </c>
      <c r="O642" s="71">
        <v>0</v>
      </c>
      <c r="P642" s="420" t="s">
        <v>761</v>
      </c>
      <c r="Q642" s="71" t="s">
        <v>1950</v>
      </c>
      <c r="R642" s="99">
        <v>79</v>
      </c>
      <c r="S642" s="422">
        <v>350</v>
      </c>
      <c r="T642" s="105">
        <v>43276</v>
      </c>
      <c r="U642" s="428" t="s">
        <v>2000</v>
      </c>
      <c r="V642" s="420"/>
      <c r="W642" s="413" t="s">
        <v>2292</v>
      </c>
      <c r="X642" s="542"/>
      <c r="Y642" s="542"/>
      <c r="Z642" s="542"/>
    </row>
    <row r="643" spans="1:26" s="71" customFormat="1" ht="14.25" customHeight="1">
      <c r="A643" s="419" t="s">
        <v>38</v>
      </c>
      <c r="B643" s="420" t="s">
        <v>136</v>
      </c>
      <c r="C643" s="420" t="s">
        <v>269</v>
      </c>
      <c r="D643" s="472" t="s">
        <v>2897</v>
      </c>
      <c r="E643" s="71" t="s">
        <v>1529</v>
      </c>
      <c r="F643" s="71" t="s">
        <v>1714</v>
      </c>
      <c r="G643" s="71" t="s">
        <v>1762</v>
      </c>
      <c r="H643" s="71" t="s">
        <v>42</v>
      </c>
      <c r="I643" s="71" t="s">
        <v>236</v>
      </c>
      <c r="J643" s="71" t="s">
        <v>44</v>
      </c>
      <c r="K643" s="71" t="s">
        <v>44</v>
      </c>
      <c r="L643" s="71" t="s">
        <v>44</v>
      </c>
      <c r="M643" s="71" t="s">
        <v>45</v>
      </c>
      <c r="N643" s="71">
        <v>25.351250396825399</v>
      </c>
      <c r="O643" s="71">
        <v>97.444283730158702</v>
      </c>
      <c r="P643" s="71" t="s">
        <v>761</v>
      </c>
      <c r="Q643" s="71" t="s">
        <v>780</v>
      </c>
      <c r="R643" s="99">
        <v>67</v>
      </c>
      <c r="S643" s="422">
        <v>283</v>
      </c>
      <c r="T643" s="105"/>
      <c r="U643" s="101"/>
      <c r="V643" s="71" t="s">
        <v>269</v>
      </c>
      <c r="X643" s="542"/>
      <c r="Y643" s="542"/>
      <c r="Z643" s="542"/>
    </row>
    <row r="644" spans="1:26" s="71" customFormat="1" ht="14.25" customHeight="1">
      <c r="A644" s="419" t="s">
        <v>38</v>
      </c>
      <c r="B644" s="420" t="s">
        <v>136</v>
      </c>
      <c r="C644" s="420" t="s">
        <v>1045</v>
      </c>
      <c r="D644" s="472" t="s">
        <v>1655</v>
      </c>
      <c r="E644" s="419" t="s">
        <v>1533</v>
      </c>
      <c r="F644" s="419" t="s">
        <v>1714</v>
      </c>
      <c r="G644" s="419" t="s">
        <v>1704</v>
      </c>
      <c r="H644" s="419" t="s">
        <v>42</v>
      </c>
      <c r="I644" s="419" t="s">
        <v>135</v>
      </c>
      <c r="J644" s="419" t="s">
        <v>44</v>
      </c>
      <c r="K644" s="419" t="s">
        <v>44</v>
      </c>
      <c r="L644" s="419" t="s">
        <v>760</v>
      </c>
      <c r="M644" s="419" t="s">
        <v>45</v>
      </c>
      <c r="N644" s="419">
        <v>25.355841999999999</v>
      </c>
      <c r="O644" s="419">
        <v>97.438259000000002</v>
      </c>
      <c r="P644" s="419" t="s">
        <v>761</v>
      </c>
      <c r="Q644" s="419" t="s">
        <v>780</v>
      </c>
      <c r="R644" s="422"/>
      <c r="S644" s="423"/>
      <c r="T644" s="442"/>
      <c r="U644" s="424" t="s">
        <v>1046</v>
      </c>
      <c r="V644" s="419" t="s">
        <v>1045</v>
      </c>
      <c r="W644" s="413" t="s">
        <v>2191</v>
      </c>
      <c r="X644" s="542"/>
      <c r="Y644" s="542"/>
      <c r="Z644" s="542"/>
    </row>
    <row r="645" spans="1:26" s="71" customFormat="1" ht="14.25" customHeight="1">
      <c r="A645" s="427" t="s">
        <v>38</v>
      </c>
      <c r="B645" s="426" t="s">
        <v>136</v>
      </c>
      <c r="C645" s="420" t="s">
        <v>1960</v>
      </c>
      <c r="D645" s="473"/>
      <c r="E645" s="420"/>
      <c r="F645" s="420"/>
      <c r="G645" s="420"/>
      <c r="H645" s="420"/>
      <c r="I645" s="420"/>
      <c r="J645" s="71" t="s">
        <v>1449</v>
      </c>
      <c r="K645" s="71" t="s">
        <v>44</v>
      </c>
      <c r="L645" s="71" t="s">
        <v>44</v>
      </c>
      <c r="M645" s="71" t="s">
        <v>45</v>
      </c>
      <c r="N645" s="420"/>
      <c r="O645" s="420"/>
      <c r="P645" s="71" t="s">
        <v>761</v>
      </c>
      <c r="Q645" s="71" t="s">
        <v>1950</v>
      </c>
      <c r="R645" s="431"/>
      <c r="S645" s="427"/>
      <c r="T645" s="105">
        <v>43270</v>
      </c>
      <c r="U645" s="428"/>
      <c r="V645" s="420"/>
      <c r="W645" s="419"/>
      <c r="X645" s="542"/>
      <c r="Y645" s="542"/>
      <c r="Z645" s="542"/>
    </row>
    <row r="646" spans="1:26" s="71" customFormat="1" ht="14.25" customHeight="1">
      <c r="A646" s="419" t="s">
        <v>38</v>
      </c>
      <c r="B646" s="420" t="s">
        <v>136</v>
      </c>
      <c r="C646" s="420" t="s">
        <v>215</v>
      </c>
      <c r="D646" s="472" t="s">
        <v>2897</v>
      </c>
      <c r="E646" s="419" t="s">
        <v>1503</v>
      </c>
      <c r="F646" s="419" t="s">
        <v>1707</v>
      </c>
      <c r="G646" s="419" t="s">
        <v>1707</v>
      </c>
      <c r="H646" s="419" t="s">
        <v>42</v>
      </c>
      <c r="I646" s="419" t="s">
        <v>1314</v>
      </c>
      <c r="J646" s="71" t="s">
        <v>44</v>
      </c>
      <c r="K646" s="71" t="s">
        <v>44</v>
      </c>
      <c r="L646" s="71" t="s">
        <v>44</v>
      </c>
      <c r="M646" s="419" t="s">
        <v>778</v>
      </c>
      <c r="N646" s="419">
        <v>24.755253</v>
      </c>
      <c r="O646" s="419">
        <v>97.546893999999995</v>
      </c>
      <c r="P646" s="71" t="s">
        <v>761</v>
      </c>
      <c r="Q646" s="419" t="s">
        <v>780</v>
      </c>
      <c r="R646" s="422">
        <v>1403</v>
      </c>
      <c r="S646" s="422">
        <v>7165</v>
      </c>
      <c r="T646" s="442"/>
      <c r="U646" s="424"/>
      <c r="V646" s="419" t="s">
        <v>215</v>
      </c>
      <c r="W646" s="413" t="s">
        <v>2293</v>
      </c>
      <c r="X646" s="542"/>
      <c r="Y646" s="542"/>
      <c r="Z646" s="542"/>
    </row>
    <row r="647" spans="1:26" s="71" customFormat="1" ht="14.25" customHeight="1">
      <c r="A647" s="419" t="s">
        <v>38</v>
      </c>
      <c r="B647" s="420" t="s">
        <v>136</v>
      </c>
      <c r="C647" s="420" t="s">
        <v>217</v>
      </c>
      <c r="D647" s="472" t="s">
        <v>1654</v>
      </c>
      <c r="E647" s="419"/>
      <c r="F647" s="419"/>
      <c r="G647" s="419"/>
      <c r="H647" s="419"/>
      <c r="I647" s="419"/>
      <c r="J647" s="71" t="s">
        <v>1449</v>
      </c>
      <c r="K647" s="71" t="s">
        <v>44</v>
      </c>
      <c r="L647" s="71" t="s">
        <v>1151</v>
      </c>
      <c r="M647" s="419" t="s">
        <v>778</v>
      </c>
      <c r="N647" s="419"/>
      <c r="O647" s="419"/>
      <c r="P647" s="71" t="s">
        <v>761</v>
      </c>
      <c r="Q647" s="419" t="s">
        <v>780</v>
      </c>
      <c r="R647" s="422"/>
      <c r="S647" s="423"/>
      <c r="T647" s="442"/>
      <c r="U647" s="424" t="s">
        <v>1095</v>
      </c>
      <c r="V647" s="419"/>
      <c r="X647" s="542"/>
      <c r="Y647" s="542"/>
      <c r="Z647" s="542"/>
    </row>
    <row r="648" spans="1:26" s="71" customFormat="1" ht="14.25" customHeight="1">
      <c r="A648" s="419" t="s">
        <v>38</v>
      </c>
      <c r="B648" s="420" t="s">
        <v>136</v>
      </c>
      <c r="C648" s="420" t="s">
        <v>216</v>
      </c>
      <c r="D648" s="472" t="s">
        <v>1654</v>
      </c>
      <c r="J648" s="71" t="s">
        <v>1449</v>
      </c>
      <c r="K648" s="71" t="s">
        <v>44</v>
      </c>
      <c r="L648" s="71" t="s">
        <v>772</v>
      </c>
      <c r="M648" s="71" t="s">
        <v>778</v>
      </c>
      <c r="P648" s="71" t="s">
        <v>773</v>
      </c>
      <c r="Q648" s="71" t="s">
        <v>780</v>
      </c>
      <c r="R648" s="99"/>
      <c r="S648" s="423"/>
      <c r="T648" s="105"/>
      <c r="U648" s="101" t="s">
        <v>1095</v>
      </c>
      <c r="X648" s="542"/>
      <c r="Y648" s="542"/>
      <c r="Z648" s="542"/>
    </row>
    <row r="649" spans="1:26" s="71" customFormat="1" ht="14.25" customHeight="1">
      <c r="A649" s="419" t="s">
        <v>38</v>
      </c>
      <c r="B649" s="420" t="s">
        <v>136</v>
      </c>
      <c r="C649" s="420" t="s">
        <v>1037</v>
      </c>
      <c r="D649" s="472" t="s">
        <v>1655</v>
      </c>
      <c r="E649" s="71" t="s">
        <v>1512</v>
      </c>
      <c r="F649" s="71" t="s">
        <v>1711</v>
      </c>
      <c r="G649" s="71" t="s">
        <v>1712</v>
      </c>
      <c r="H649" s="71" t="s">
        <v>42</v>
      </c>
      <c r="I649" s="71" t="s">
        <v>135</v>
      </c>
      <c r="J649" s="71" t="s">
        <v>44</v>
      </c>
      <c r="K649" s="419" t="s">
        <v>44</v>
      </c>
      <c r="L649" s="419" t="s">
        <v>760</v>
      </c>
      <c r="M649" s="71" t="s">
        <v>778</v>
      </c>
      <c r="N649" s="71">
        <v>25.106670000000001</v>
      </c>
      <c r="O649" s="71">
        <v>97.756789999999995</v>
      </c>
      <c r="P649" s="71" t="s">
        <v>761</v>
      </c>
      <c r="Q649" s="71" t="s">
        <v>780</v>
      </c>
      <c r="R649" s="422"/>
      <c r="S649" s="100"/>
      <c r="T649" s="105"/>
      <c r="U649" s="101" t="s">
        <v>1032</v>
      </c>
      <c r="V649" s="71" t="s">
        <v>1038</v>
      </c>
      <c r="W649" s="413" t="s">
        <v>2192</v>
      </c>
      <c r="X649" s="542"/>
      <c r="Y649" s="542"/>
      <c r="Z649" s="542"/>
    </row>
    <row r="650" spans="1:26" s="71" customFormat="1" ht="14.25" customHeight="1">
      <c r="A650" s="419" t="s">
        <v>2706</v>
      </c>
      <c r="B650" s="419" t="s">
        <v>323</v>
      </c>
      <c r="C650" s="419" t="s">
        <v>2590</v>
      </c>
      <c r="D650" s="472"/>
      <c r="E650" s="419"/>
      <c r="F650" s="419"/>
      <c r="G650" s="419"/>
      <c r="H650" s="419"/>
      <c r="I650" s="419"/>
      <c r="J650" s="419" t="s">
        <v>2715</v>
      </c>
      <c r="K650" s="419" t="s">
        <v>2677</v>
      </c>
      <c r="L650" s="419" t="s">
        <v>2677</v>
      </c>
      <c r="M650" s="419"/>
      <c r="N650" s="419"/>
      <c r="O650" s="419"/>
      <c r="P650" s="419"/>
      <c r="Q650" s="419"/>
      <c r="R650" s="422"/>
      <c r="S650" s="423"/>
      <c r="T650" s="442"/>
      <c r="U650" s="424"/>
      <c r="V650" s="419"/>
      <c r="W650" s="419"/>
      <c r="X650" s="542"/>
      <c r="Y650" s="542"/>
      <c r="Z650" s="542"/>
    </row>
    <row r="651" spans="1:26" s="71" customFormat="1" ht="14.25" customHeight="1">
      <c r="A651" s="480" t="s">
        <v>2706</v>
      </c>
      <c r="B651" s="488" t="s">
        <v>323</v>
      </c>
      <c r="C651" s="492" t="s">
        <v>2739</v>
      </c>
      <c r="D651" s="421"/>
      <c r="E651" s="482">
        <v>198334</v>
      </c>
      <c r="F651" s="482" t="s">
        <v>2739</v>
      </c>
      <c r="G651" s="482"/>
      <c r="H651" s="482"/>
      <c r="I651" s="482"/>
      <c r="J651" s="419" t="s">
        <v>798</v>
      </c>
      <c r="K651" s="419" t="s">
        <v>798</v>
      </c>
      <c r="L651" s="419" t="s">
        <v>798</v>
      </c>
      <c r="M651" s="482"/>
      <c r="N651" s="482">
        <v>20.825700759887699</v>
      </c>
      <c r="O651" s="482">
        <v>92.542686462402301</v>
      </c>
      <c r="P651" s="482"/>
      <c r="Q651" s="482" t="s">
        <v>2682</v>
      </c>
      <c r="R651" s="483"/>
      <c r="S651" s="480"/>
      <c r="T651" s="484">
        <v>43580</v>
      </c>
      <c r="U651" s="485" t="s">
        <v>2736</v>
      </c>
      <c r="V651" s="486"/>
      <c r="W651" s="422"/>
      <c r="X651" s="542"/>
      <c r="Y651" s="542"/>
      <c r="Z651" s="542"/>
    </row>
    <row r="652" spans="1:26" s="71" customFormat="1" ht="14.25" customHeight="1">
      <c r="A652" s="419" t="s">
        <v>2706</v>
      </c>
      <c r="B652" s="420" t="s">
        <v>323</v>
      </c>
      <c r="C652" s="420" t="s">
        <v>631</v>
      </c>
      <c r="D652" s="472" t="s">
        <v>1654</v>
      </c>
      <c r="E652" s="71">
        <v>198334</v>
      </c>
      <c r="J652" s="71" t="s">
        <v>2715</v>
      </c>
      <c r="K652" s="71" t="s">
        <v>2677</v>
      </c>
      <c r="L652" s="71" t="s">
        <v>2677</v>
      </c>
      <c r="M652" s="71" t="s">
        <v>795</v>
      </c>
      <c r="N652" s="71">
        <v>20.82570076</v>
      </c>
      <c r="O652" s="71">
        <v>92.542686459999999</v>
      </c>
      <c r="P652" s="71" t="s">
        <v>799</v>
      </c>
      <c r="Q652" s="71" t="s">
        <v>780</v>
      </c>
      <c r="R652" s="99"/>
      <c r="S652" s="423"/>
      <c r="T652" s="105"/>
      <c r="U652" s="424"/>
      <c r="V652" s="71" t="s">
        <v>631</v>
      </c>
      <c r="W652" s="419"/>
      <c r="X652" s="542"/>
      <c r="Y652" s="542"/>
      <c r="Z652" s="542"/>
    </row>
    <row r="653" spans="1:26" s="71" customFormat="1" ht="14.25" customHeight="1">
      <c r="A653" s="480" t="s">
        <v>2706</v>
      </c>
      <c r="B653" s="488" t="s">
        <v>323</v>
      </c>
      <c r="C653" s="492" t="s">
        <v>2557</v>
      </c>
      <c r="D653" s="421"/>
      <c r="E653" s="482">
        <v>198349</v>
      </c>
      <c r="F653" s="482" t="s">
        <v>2557</v>
      </c>
      <c r="G653" s="482"/>
      <c r="H653" s="482"/>
      <c r="I653" s="482"/>
      <c r="J653" s="71" t="s">
        <v>798</v>
      </c>
      <c r="K653" s="71" t="s">
        <v>798</v>
      </c>
      <c r="L653" s="71" t="s">
        <v>798</v>
      </c>
      <c r="M653" s="202" t="s">
        <v>795</v>
      </c>
      <c r="N653" s="482">
        <v>20.819919586181602</v>
      </c>
      <c r="O653" s="482">
        <v>92.589729309082003</v>
      </c>
      <c r="P653" s="482"/>
      <c r="Q653" s="482" t="s">
        <v>2682</v>
      </c>
      <c r="R653" s="483"/>
      <c r="S653" s="480"/>
      <c r="T653" s="484">
        <v>43580</v>
      </c>
      <c r="U653" s="485" t="s">
        <v>2736</v>
      </c>
      <c r="V653" s="486"/>
      <c r="W653" s="422"/>
      <c r="X653" s="542"/>
      <c r="Y653" s="542"/>
      <c r="Z653" s="542"/>
    </row>
    <row r="654" spans="1:26" s="71" customFormat="1" ht="14.25" customHeight="1">
      <c r="A654" s="419" t="s">
        <v>2706</v>
      </c>
      <c r="B654" s="419" t="s">
        <v>323</v>
      </c>
      <c r="C654" s="419" t="s">
        <v>544</v>
      </c>
      <c r="D654" s="472" t="s">
        <v>1654</v>
      </c>
      <c r="E654" s="71">
        <v>198443</v>
      </c>
      <c r="J654" s="71" t="s">
        <v>798</v>
      </c>
      <c r="K654" s="71" t="s">
        <v>798</v>
      </c>
      <c r="L654" s="71" t="s">
        <v>798</v>
      </c>
      <c r="M654" s="71" t="s">
        <v>795</v>
      </c>
      <c r="N654" s="71">
        <v>20.686819079999999</v>
      </c>
      <c r="O654" s="71">
        <v>92.57855988</v>
      </c>
      <c r="P654" s="71" t="s">
        <v>799</v>
      </c>
      <c r="Q654" s="71" t="s">
        <v>780</v>
      </c>
      <c r="R654" s="422"/>
      <c r="S654" s="100"/>
      <c r="T654" s="105"/>
      <c r="U654" s="101"/>
      <c r="V654" s="71" t="s">
        <v>544</v>
      </c>
      <c r="X654" s="542"/>
      <c r="Y654" s="542"/>
      <c r="Z654" s="542"/>
    </row>
    <row r="655" spans="1:26" s="71" customFormat="1" ht="14.25" customHeight="1">
      <c r="A655" s="419" t="s">
        <v>2706</v>
      </c>
      <c r="B655" s="419" t="s">
        <v>323</v>
      </c>
      <c r="C655" s="419" t="s">
        <v>2751</v>
      </c>
      <c r="D655" s="472" t="s">
        <v>1654</v>
      </c>
      <c r="E655" s="71">
        <v>198185</v>
      </c>
      <c r="J655" s="71" t="s">
        <v>798</v>
      </c>
      <c r="K655" s="71" t="s">
        <v>798</v>
      </c>
      <c r="L655" s="71" t="s">
        <v>798</v>
      </c>
      <c r="M655" s="71" t="s">
        <v>795</v>
      </c>
      <c r="N655" s="419">
        <v>20.961650850000002</v>
      </c>
      <c r="O655" s="419">
        <v>92.502937320000001</v>
      </c>
      <c r="P655" s="71" t="s">
        <v>799</v>
      </c>
      <c r="Q655" s="71" t="s">
        <v>780</v>
      </c>
      <c r="R655" s="99"/>
      <c r="S655" s="100"/>
      <c r="T655" s="105"/>
      <c r="U655" s="101"/>
      <c r="V655" s="71" t="s">
        <v>665</v>
      </c>
      <c r="X655" s="542"/>
      <c r="Y655" s="542"/>
      <c r="Z655" s="542"/>
    </row>
    <row r="656" spans="1:26" s="71" customFormat="1" ht="14.25" customHeight="1">
      <c r="A656" s="549" t="s">
        <v>2706</v>
      </c>
      <c r="B656" s="552" t="s">
        <v>323</v>
      </c>
      <c r="C656" s="553" t="s">
        <v>2891</v>
      </c>
      <c r="D656" s="547"/>
      <c r="E656" s="71">
        <v>198357</v>
      </c>
      <c r="J656" s="71" t="s">
        <v>798</v>
      </c>
      <c r="K656" s="71" t="s">
        <v>798</v>
      </c>
      <c r="L656" s="71" t="s">
        <v>798</v>
      </c>
      <c r="N656" s="542">
        <v>20.813840866088899</v>
      </c>
      <c r="O656" s="542">
        <v>92.599952697753906</v>
      </c>
      <c r="R656" s="556"/>
      <c r="S656" s="100"/>
      <c r="T656" s="105"/>
      <c r="U656" s="556"/>
      <c r="W656" s="548"/>
      <c r="X656" s="542"/>
      <c r="Y656" s="542"/>
      <c r="Z656" s="542"/>
    </row>
    <row r="657" spans="1:26" s="71" customFormat="1" ht="14.25" customHeight="1">
      <c r="A657" s="419" t="s">
        <v>2706</v>
      </c>
      <c r="B657" s="420" t="s">
        <v>323</v>
      </c>
      <c r="C657" s="420" t="s">
        <v>583</v>
      </c>
      <c r="D657" s="472" t="s">
        <v>1654</v>
      </c>
      <c r="E657" s="71">
        <v>198427</v>
      </c>
      <c r="J657" s="71" t="s">
        <v>798</v>
      </c>
      <c r="K657" s="71" t="s">
        <v>798</v>
      </c>
      <c r="L657" s="71" t="s">
        <v>798</v>
      </c>
      <c r="M657" s="71" t="s">
        <v>889</v>
      </c>
      <c r="N657" s="560">
        <v>20.742059709999999</v>
      </c>
      <c r="O657" s="560">
        <v>92.630676269999995</v>
      </c>
      <c r="P657" s="71" t="s">
        <v>799</v>
      </c>
      <c r="Q657" s="71" t="s">
        <v>780</v>
      </c>
      <c r="R657" s="99"/>
      <c r="S657" s="100"/>
      <c r="T657" s="105"/>
      <c r="U657" s="101"/>
      <c r="V657" s="71" t="s">
        <v>583</v>
      </c>
      <c r="X657" s="542"/>
      <c r="Y657" s="542"/>
      <c r="Z657" s="542"/>
    </row>
    <row r="658" spans="1:26" s="71" customFormat="1" ht="14.25" customHeight="1">
      <c r="A658" s="419" t="s">
        <v>2706</v>
      </c>
      <c r="B658" s="546" t="s">
        <v>323</v>
      </c>
      <c r="C658" s="546" t="s">
        <v>2564</v>
      </c>
      <c r="D658" s="472"/>
      <c r="E658" s="71">
        <v>198427</v>
      </c>
      <c r="F658" s="71" t="s">
        <v>2685</v>
      </c>
      <c r="J658" s="71" t="s">
        <v>798</v>
      </c>
      <c r="K658" s="419" t="s">
        <v>798</v>
      </c>
      <c r="L658" s="419" t="s">
        <v>798</v>
      </c>
      <c r="M658" s="71" t="s">
        <v>795</v>
      </c>
      <c r="Q658" s="71" t="s">
        <v>2682</v>
      </c>
      <c r="R658" s="99"/>
      <c r="S658" s="100"/>
      <c r="T658" s="105"/>
      <c r="U658" s="101"/>
      <c r="X658" s="542"/>
      <c r="Y658" s="542"/>
      <c r="Z658" s="542"/>
    </row>
    <row r="659" spans="1:26" s="71" customFormat="1" ht="14.25" customHeight="1">
      <c r="A659" s="542" t="s">
        <v>2706</v>
      </c>
      <c r="B659" s="542" t="s">
        <v>323</v>
      </c>
      <c r="C659" s="542" t="s">
        <v>2563</v>
      </c>
      <c r="D659" s="472"/>
      <c r="E659" s="71">
        <v>198426</v>
      </c>
      <c r="F659" s="419" t="s">
        <v>2685</v>
      </c>
      <c r="J659" s="71" t="s">
        <v>798</v>
      </c>
      <c r="K659" s="71" t="s">
        <v>798</v>
      </c>
      <c r="L659" s="71" t="s">
        <v>798</v>
      </c>
      <c r="M659" s="71" t="s">
        <v>298</v>
      </c>
      <c r="O659" s="419"/>
      <c r="Q659" s="71" t="s">
        <v>2682</v>
      </c>
      <c r="R659" s="548"/>
      <c r="S659" s="423"/>
      <c r="T659" s="105"/>
      <c r="U659" s="550"/>
      <c r="W659" s="542"/>
      <c r="X659" s="542"/>
      <c r="Y659" s="542"/>
      <c r="Z659" s="542"/>
    </row>
    <row r="660" spans="1:26" s="71" customFormat="1" ht="14.25" customHeight="1">
      <c r="A660" s="552" t="s">
        <v>2706</v>
      </c>
      <c r="B660" s="552" t="s">
        <v>323</v>
      </c>
      <c r="C660" s="553" t="s">
        <v>2860</v>
      </c>
      <c r="D660" s="547"/>
      <c r="E660" s="71">
        <v>198415</v>
      </c>
      <c r="J660" s="71" t="s">
        <v>2715</v>
      </c>
      <c r="K660" s="71" t="s">
        <v>2677</v>
      </c>
      <c r="L660" s="71" t="s">
        <v>2677</v>
      </c>
      <c r="N660" s="71">
        <v>20.734859466552699</v>
      </c>
      <c r="O660" s="71">
        <v>92.657089233398395</v>
      </c>
      <c r="R660" s="556"/>
      <c r="S660" s="423"/>
      <c r="T660" s="105">
        <v>43591</v>
      </c>
      <c r="U660" s="556"/>
      <c r="W660" s="548"/>
      <c r="X660" s="542"/>
      <c r="Y660" s="542"/>
      <c r="Z660" s="542"/>
    </row>
    <row r="661" spans="1:26" s="71" customFormat="1" ht="14.25" customHeight="1">
      <c r="A661" s="419" t="s">
        <v>2706</v>
      </c>
      <c r="B661" s="419" t="s">
        <v>323</v>
      </c>
      <c r="C661" s="419" t="s">
        <v>605</v>
      </c>
      <c r="D661" s="472" t="s">
        <v>1654</v>
      </c>
      <c r="E661" s="419">
        <v>198367</v>
      </c>
      <c r="F661" s="419"/>
      <c r="G661" s="419"/>
      <c r="H661" s="419"/>
      <c r="I661" s="419"/>
      <c r="J661" s="419" t="s">
        <v>798</v>
      </c>
      <c r="K661" s="419" t="s">
        <v>798</v>
      </c>
      <c r="L661" s="419" t="s">
        <v>798</v>
      </c>
      <c r="M661" s="419" t="s">
        <v>795</v>
      </c>
      <c r="N661" s="542">
        <v>20.792390820000001</v>
      </c>
      <c r="O661" s="542">
        <v>92.587081909999995</v>
      </c>
      <c r="P661" s="419" t="s">
        <v>799</v>
      </c>
      <c r="Q661" s="419" t="s">
        <v>780</v>
      </c>
      <c r="R661" s="422"/>
      <c r="S661" s="423"/>
      <c r="T661" s="442"/>
      <c r="U661" s="424"/>
      <c r="V661" s="419" t="s">
        <v>605</v>
      </c>
      <c r="X661" s="542"/>
      <c r="Y661" s="542"/>
      <c r="Z661" s="542"/>
    </row>
    <row r="662" spans="1:26" s="71" customFormat="1" ht="14.25" customHeight="1">
      <c r="A662" s="542" t="s">
        <v>2706</v>
      </c>
      <c r="B662" s="542" t="s">
        <v>323</v>
      </c>
      <c r="C662" s="542" t="s">
        <v>652</v>
      </c>
      <c r="D662" s="472" t="s">
        <v>1654</v>
      </c>
      <c r="E662" s="71">
        <v>198317</v>
      </c>
      <c r="J662" s="71" t="s">
        <v>798</v>
      </c>
      <c r="K662" s="71" t="s">
        <v>798</v>
      </c>
      <c r="L662" s="71" t="s">
        <v>798</v>
      </c>
      <c r="M662" s="71" t="s">
        <v>795</v>
      </c>
      <c r="N662" s="560">
        <v>20.891330719999999</v>
      </c>
      <c r="O662" s="560">
        <v>92.491966250000004</v>
      </c>
      <c r="P662" s="71" t="s">
        <v>799</v>
      </c>
      <c r="Q662" s="71" t="s">
        <v>780</v>
      </c>
      <c r="R662" s="548"/>
      <c r="S662" s="100"/>
      <c r="T662" s="105"/>
      <c r="U662" s="550"/>
      <c r="V662" s="71" t="s">
        <v>652</v>
      </c>
      <c r="W662" s="542"/>
      <c r="X662" s="542"/>
      <c r="Y662" s="542"/>
      <c r="Z662" s="542"/>
    </row>
    <row r="663" spans="1:26" s="71" customFormat="1" ht="14.25" customHeight="1">
      <c r="A663" s="552" t="s">
        <v>2706</v>
      </c>
      <c r="B663" s="552" t="s">
        <v>323</v>
      </c>
      <c r="C663" s="553" t="s">
        <v>621</v>
      </c>
      <c r="D663" s="547"/>
      <c r="E663" s="71">
        <v>217876</v>
      </c>
      <c r="J663" s="71" t="s">
        <v>2715</v>
      </c>
      <c r="K663" s="71" t="s">
        <v>2677</v>
      </c>
      <c r="L663" s="71" t="s">
        <v>2677</v>
      </c>
      <c r="M663" s="71" t="s">
        <v>298</v>
      </c>
      <c r="N663" s="71">
        <v>20.818290709999999</v>
      </c>
      <c r="O663" s="71">
        <v>92.594978330000004</v>
      </c>
      <c r="P663" s="71" t="s">
        <v>799</v>
      </c>
      <c r="R663" s="556"/>
      <c r="S663" s="100"/>
      <c r="T663" s="105">
        <v>43591</v>
      </c>
      <c r="U663" s="556"/>
      <c r="W663" s="548"/>
      <c r="X663" s="542"/>
      <c r="Y663" s="542"/>
      <c r="Z663" s="542"/>
    </row>
    <row r="664" spans="1:26" s="71" customFormat="1" ht="14.25" customHeight="1">
      <c r="A664" s="419" t="s">
        <v>2706</v>
      </c>
      <c r="B664" s="419" t="s">
        <v>323</v>
      </c>
      <c r="C664" s="419" t="s">
        <v>324</v>
      </c>
      <c r="D664" s="472" t="s">
        <v>1654</v>
      </c>
      <c r="E664" s="419"/>
      <c r="F664" s="419"/>
      <c r="G664" s="419"/>
      <c r="H664" s="419"/>
      <c r="I664" s="419"/>
      <c r="J664" s="419" t="s">
        <v>804</v>
      </c>
      <c r="K664" s="419" t="s">
        <v>798</v>
      </c>
      <c r="L664" s="419" t="s">
        <v>804</v>
      </c>
      <c r="M664" s="71" t="s">
        <v>795</v>
      </c>
      <c r="N664" s="419"/>
      <c r="P664" s="71" t="s">
        <v>923</v>
      </c>
      <c r="Q664" s="419" t="s">
        <v>802</v>
      </c>
      <c r="R664" s="422"/>
      <c r="S664" s="423"/>
      <c r="T664" s="442">
        <v>42926</v>
      </c>
      <c r="U664" s="424" t="s">
        <v>933</v>
      </c>
      <c r="W664" s="419"/>
      <c r="X664" s="542"/>
      <c r="Y664" s="542"/>
      <c r="Z664" s="542"/>
    </row>
    <row r="665" spans="1:26" s="71" customFormat="1" ht="14.25" customHeight="1">
      <c r="A665" s="419" t="s">
        <v>2706</v>
      </c>
      <c r="B665" s="419" t="s">
        <v>323</v>
      </c>
      <c r="C665" s="419" t="s">
        <v>542</v>
      </c>
      <c r="D665" s="472" t="s">
        <v>1654</v>
      </c>
      <c r="E665" s="419">
        <v>220754</v>
      </c>
      <c r="F665" s="419"/>
      <c r="G665" s="419"/>
      <c r="H665" s="419"/>
      <c r="I665" s="419"/>
      <c r="J665" s="419" t="s">
        <v>798</v>
      </c>
      <c r="K665" s="419" t="s">
        <v>798</v>
      </c>
      <c r="L665" s="419" t="s">
        <v>798</v>
      </c>
      <c r="M665" s="71" t="s">
        <v>298</v>
      </c>
      <c r="N665" s="419">
        <v>20.685689929999999</v>
      </c>
      <c r="O665" s="71">
        <v>92.572860719999994</v>
      </c>
      <c r="P665" s="71" t="s">
        <v>799</v>
      </c>
      <c r="Q665" s="419" t="s">
        <v>780</v>
      </c>
      <c r="R665" s="422"/>
      <c r="S665" s="423"/>
      <c r="T665" s="442"/>
      <c r="U665" s="424"/>
      <c r="V665" s="71" t="s">
        <v>542</v>
      </c>
      <c r="W665" s="419"/>
      <c r="X665" s="542"/>
      <c r="Y665" s="542"/>
      <c r="Z665" s="542"/>
    </row>
    <row r="666" spans="1:26" s="71" customFormat="1" ht="14.25" customHeight="1">
      <c r="A666" s="419" t="s">
        <v>2706</v>
      </c>
      <c r="B666" s="419" t="s">
        <v>323</v>
      </c>
      <c r="C666" s="419" t="s">
        <v>571</v>
      </c>
      <c r="D666" s="472" t="s">
        <v>1654</v>
      </c>
      <c r="E666" s="71">
        <v>198429</v>
      </c>
      <c r="J666" s="71" t="s">
        <v>798</v>
      </c>
      <c r="K666" s="71" t="s">
        <v>798</v>
      </c>
      <c r="L666" s="419" t="s">
        <v>798</v>
      </c>
      <c r="M666" s="71" t="s">
        <v>795</v>
      </c>
      <c r="N666" s="71">
        <v>20.721019739999999</v>
      </c>
      <c r="O666" s="71">
        <v>92.626197809999994</v>
      </c>
      <c r="P666" s="71" t="s">
        <v>799</v>
      </c>
      <c r="Q666" s="71" t="s">
        <v>780</v>
      </c>
      <c r="R666" s="422"/>
      <c r="S666" s="100"/>
      <c r="T666" s="105"/>
      <c r="U666" s="101"/>
      <c r="V666" s="71" t="s">
        <v>571</v>
      </c>
      <c r="W666" s="419"/>
      <c r="X666" s="542"/>
      <c r="Y666" s="542"/>
      <c r="Z666" s="542"/>
    </row>
    <row r="667" spans="1:26" s="71" customFormat="1" ht="14.25" customHeight="1">
      <c r="A667" s="419" t="s">
        <v>2706</v>
      </c>
      <c r="B667" s="419" t="s">
        <v>323</v>
      </c>
      <c r="C667" s="419" t="s">
        <v>651</v>
      </c>
      <c r="D667" s="472"/>
      <c r="E667" s="71">
        <v>198435</v>
      </c>
      <c r="F667" s="71" t="s">
        <v>2687</v>
      </c>
      <c r="J667" s="71" t="s">
        <v>798</v>
      </c>
      <c r="K667" s="71" t="s">
        <v>798</v>
      </c>
      <c r="L667" s="71" t="s">
        <v>798</v>
      </c>
      <c r="M667" s="71" t="s">
        <v>795</v>
      </c>
      <c r="Q667" s="71" t="s">
        <v>2682</v>
      </c>
      <c r="R667" s="422"/>
      <c r="S667" s="100"/>
      <c r="T667" s="105"/>
      <c r="U667" s="101"/>
      <c r="X667" s="542"/>
      <c r="Y667" s="542"/>
      <c r="Z667" s="542"/>
    </row>
    <row r="668" spans="1:26" s="71" customFormat="1" ht="14.25" customHeight="1">
      <c r="A668" s="419" t="s">
        <v>2706</v>
      </c>
      <c r="B668" s="542" t="s">
        <v>323</v>
      </c>
      <c r="C668" s="542" t="s">
        <v>585</v>
      </c>
      <c r="D668" s="472" t="s">
        <v>1654</v>
      </c>
      <c r="E668" s="71">
        <v>198390</v>
      </c>
      <c r="J668" s="71" t="s">
        <v>798</v>
      </c>
      <c r="K668" s="71" t="s">
        <v>798</v>
      </c>
      <c r="L668" s="71" t="s">
        <v>798</v>
      </c>
      <c r="M668" s="71" t="s">
        <v>795</v>
      </c>
      <c r="N668" s="71">
        <v>20.753370289999999</v>
      </c>
      <c r="O668" s="71">
        <v>92.545188899999999</v>
      </c>
      <c r="P668" s="71" t="s">
        <v>799</v>
      </c>
      <c r="Q668" s="71" t="s">
        <v>780</v>
      </c>
      <c r="R668" s="422"/>
      <c r="S668" s="100"/>
      <c r="T668" s="105"/>
      <c r="U668" s="101"/>
      <c r="V668" s="71" t="s">
        <v>585</v>
      </c>
      <c r="X668" s="542"/>
      <c r="Y668" s="542"/>
      <c r="Z668" s="542"/>
    </row>
    <row r="669" spans="1:26" s="71" customFormat="1" ht="14.25" customHeight="1">
      <c r="A669" s="419" t="s">
        <v>2706</v>
      </c>
      <c r="B669" s="420" t="s">
        <v>323</v>
      </c>
      <c r="C669" s="420" t="s">
        <v>2565</v>
      </c>
      <c r="D669" s="472" t="s">
        <v>1654</v>
      </c>
      <c r="E669" s="71">
        <v>198431</v>
      </c>
      <c r="F669" s="71" t="s">
        <v>2686</v>
      </c>
      <c r="J669" s="71" t="s">
        <v>798</v>
      </c>
      <c r="K669" s="71" t="s">
        <v>798</v>
      </c>
      <c r="L669" s="71" t="s">
        <v>798</v>
      </c>
      <c r="M669" s="71" t="s">
        <v>795</v>
      </c>
      <c r="N669" s="71">
        <v>20.703790659999999</v>
      </c>
      <c r="O669" s="71">
        <v>92.628463749999995</v>
      </c>
      <c r="P669" s="71" t="s">
        <v>799</v>
      </c>
      <c r="Q669" s="71" t="s">
        <v>780</v>
      </c>
      <c r="R669" s="99"/>
      <c r="S669" s="100"/>
      <c r="T669" s="105"/>
      <c r="U669" s="101"/>
      <c r="V669" s="71" t="s">
        <v>554</v>
      </c>
      <c r="X669" s="542"/>
      <c r="Y669" s="542"/>
      <c r="Z669" s="542"/>
    </row>
    <row r="670" spans="1:26" s="71" customFormat="1" ht="14.25" customHeight="1">
      <c r="A670" s="419" t="s">
        <v>2706</v>
      </c>
      <c r="B670" s="546" t="s">
        <v>323</v>
      </c>
      <c r="C670" s="546" t="s">
        <v>2566</v>
      </c>
      <c r="D670" s="472" t="s">
        <v>1654</v>
      </c>
      <c r="E670" s="71">
        <v>198428</v>
      </c>
      <c r="J670" s="71" t="s">
        <v>798</v>
      </c>
      <c r="K670" s="71" t="s">
        <v>798</v>
      </c>
      <c r="L670" s="71" t="s">
        <v>798</v>
      </c>
      <c r="M670" s="71" t="s">
        <v>298</v>
      </c>
      <c r="N670" s="71">
        <v>20.703920360000001</v>
      </c>
      <c r="O670" s="71">
        <v>92.631500239999994</v>
      </c>
      <c r="P670" s="71" t="s">
        <v>799</v>
      </c>
      <c r="Q670" s="71" t="s">
        <v>780</v>
      </c>
      <c r="R670" s="422"/>
      <c r="S670" s="100"/>
      <c r="T670" s="105"/>
      <c r="U670" s="101"/>
      <c r="V670" s="71" t="s">
        <v>555</v>
      </c>
      <c r="X670" s="542"/>
      <c r="Y670" s="542"/>
      <c r="Z670" s="542"/>
    </row>
    <row r="671" spans="1:26" s="71" customFormat="1" ht="14.25" customHeight="1">
      <c r="A671" s="419" t="s">
        <v>2706</v>
      </c>
      <c r="B671" s="419" t="s">
        <v>323</v>
      </c>
      <c r="C671" s="419" t="s">
        <v>533</v>
      </c>
      <c r="D671" s="472" t="s">
        <v>1654</v>
      </c>
      <c r="E671" s="71">
        <v>217884</v>
      </c>
      <c r="J671" s="71" t="s">
        <v>798</v>
      </c>
      <c r="K671" s="71" t="s">
        <v>798</v>
      </c>
      <c r="L671" s="71" t="s">
        <v>798</v>
      </c>
      <c r="M671" s="71" t="s">
        <v>795</v>
      </c>
      <c r="N671" s="71">
        <v>20.673639300000001</v>
      </c>
      <c r="O671" s="71">
        <v>92.596298219999994</v>
      </c>
      <c r="P671" s="71" t="s">
        <v>799</v>
      </c>
      <c r="Q671" s="71" t="s">
        <v>780</v>
      </c>
      <c r="R671" s="422"/>
      <c r="S671" s="100"/>
      <c r="T671" s="105"/>
      <c r="U671" s="101"/>
      <c r="V671" s="71" t="s">
        <v>533</v>
      </c>
      <c r="X671" s="542"/>
      <c r="Y671" s="542"/>
      <c r="Z671" s="542"/>
    </row>
    <row r="672" spans="1:26" s="71" customFormat="1" ht="14.25" customHeight="1">
      <c r="A672" s="542" t="s">
        <v>2706</v>
      </c>
      <c r="B672" s="542" t="s">
        <v>323</v>
      </c>
      <c r="C672" s="542" t="s">
        <v>2738</v>
      </c>
      <c r="D672" s="472"/>
      <c r="E672" s="542"/>
      <c r="F672" s="542"/>
      <c r="G672" s="542"/>
      <c r="H672" s="542"/>
      <c r="I672" s="542"/>
      <c r="J672" s="71" t="s">
        <v>798</v>
      </c>
      <c r="K672" s="71" t="s">
        <v>879</v>
      </c>
      <c r="L672" s="71" t="s">
        <v>879</v>
      </c>
      <c r="M672" s="542"/>
      <c r="N672" s="542"/>
      <c r="O672" s="542"/>
      <c r="P672" s="542"/>
      <c r="Q672" s="542"/>
      <c r="R672" s="548"/>
      <c r="S672" s="549"/>
      <c r="T672" s="568"/>
      <c r="U672" s="550"/>
      <c r="V672" s="542" t="s">
        <v>2893</v>
      </c>
      <c r="W672" s="542"/>
      <c r="X672" s="542"/>
      <c r="Y672" s="542"/>
      <c r="Z672" s="542"/>
    </row>
    <row r="673" spans="1:26" s="71" customFormat="1" ht="14.25" customHeight="1">
      <c r="A673" s="480" t="s">
        <v>2706</v>
      </c>
      <c r="B673" s="488" t="s">
        <v>323</v>
      </c>
      <c r="C673" s="492" t="s">
        <v>1101</v>
      </c>
      <c r="D673" s="547" t="s">
        <v>1654</v>
      </c>
      <c r="E673" s="482">
        <v>198232</v>
      </c>
      <c r="F673" s="574"/>
      <c r="G673" s="482"/>
      <c r="H673" s="482"/>
      <c r="I673" s="482"/>
      <c r="J673" s="71" t="s">
        <v>798</v>
      </c>
      <c r="K673" s="71" t="s">
        <v>798</v>
      </c>
      <c r="L673" s="71" t="s">
        <v>798</v>
      </c>
      <c r="M673" s="482" t="s">
        <v>298</v>
      </c>
      <c r="N673" s="482"/>
      <c r="O673" s="482"/>
      <c r="P673" s="482" t="s">
        <v>799</v>
      </c>
      <c r="Q673" s="482" t="s">
        <v>802</v>
      </c>
      <c r="R673" s="483"/>
      <c r="S673" s="480"/>
      <c r="T673" s="484">
        <v>42926</v>
      </c>
      <c r="U673" s="485" t="s">
        <v>803</v>
      </c>
      <c r="V673" s="486"/>
      <c r="W673" s="548"/>
      <c r="X673" s="542"/>
      <c r="Y673" s="542"/>
      <c r="Z673" s="542"/>
    </row>
    <row r="674" spans="1:26" s="71" customFormat="1" ht="14.25" customHeight="1">
      <c r="A674" s="419" t="s">
        <v>2706</v>
      </c>
      <c r="B674" s="419" t="s">
        <v>323</v>
      </c>
      <c r="C674" s="419" t="s">
        <v>2683</v>
      </c>
      <c r="D674" s="472"/>
      <c r="E674" s="71">
        <v>198370</v>
      </c>
      <c r="F674" s="71" t="s">
        <v>2683</v>
      </c>
      <c r="J674" s="71" t="s">
        <v>798</v>
      </c>
      <c r="K674" s="71" t="s">
        <v>798</v>
      </c>
      <c r="L674" s="71" t="s">
        <v>798</v>
      </c>
      <c r="N674" s="71">
        <v>20.793779373168899</v>
      </c>
      <c r="O674" s="71">
        <v>92.597961425781307</v>
      </c>
      <c r="Q674" s="71" t="s">
        <v>2682</v>
      </c>
      <c r="R674" s="422"/>
      <c r="S674" s="100"/>
      <c r="T674" s="105">
        <v>43580</v>
      </c>
      <c r="U674" s="101" t="s">
        <v>2736</v>
      </c>
      <c r="X674" s="542"/>
      <c r="Y674" s="542"/>
      <c r="Z674" s="542"/>
    </row>
    <row r="675" spans="1:26" s="71" customFormat="1" ht="14.25" customHeight="1">
      <c r="A675" s="419" t="s">
        <v>2706</v>
      </c>
      <c r="B675" s="419" t="s">
        <v>323</v>
      </c>
      <c r="C675" s="419" t="s">
        <v>2556</v>
      </c>
      <c r="D675" s="472"/>
      <c r="E675" s="71">
        <v>198350</v>
      </c>
      <c r="F675" s="71" t="s">
        <v>2557</v>
      </c>
      <c r="J675" s="71" t="s">
        <v>798</v>
      </c>
      <c r="K675" s="71" t="s">
        <v>798</v>
      </c>
      <c r="L675" s="71" t="s">
        <v>798</v>
      </c>
      <c r="M675" s="71" t="s">
        <v>795</v>
      </c>
      <c r="Q675" s="71" t="s">
        <v>2682</v>
      </c>
      <c r="R675" s="99"/>
      <c r="S675" s="100"/>
      <c r="T675" s="105"/>
      <c r="U675" s="101"/>
      <c r="X675" s="542"/>
      <c r="Y675" s="542"/>
      <c r="Z675" s="542"/>
    </row>
    <row r="676" spans="1:26" s="71" customFormat="1" ht="14.25" customHeight="1">
      <c r="A676" s="419" t="s">
        <v>2706</v>
      </c>
      <c r="B676" s="419" t="s">
        <v>323</v>
      </c>
      <c r="C676" s="419" t="s">
        <v>668</v>
      </c>
      <c r="D676" s="472" t="s">
        <v>1654</v>
      </c>
      <c r="E676" s="419">
        <v>198183</v>
      </c>
      <c r="F676" s="419"/>
      <c r="G676" s="419"/>
      <c r="H676" s="419"/>
      <c r="I676" s="419"/>
      <c r="J676" s="419" t="s">
        <v>798</v>
      </c>
      <c r="K676" s="419" t="s">
        <v>798</v>
      </c>
      <c r="L676" s="419" t="s">
        <v>798</v>
      </c>
      <c r="M676" s="419" t="s">
        <v>951</v>
      </c>
      <c r="N676" s="419">
        <v>20.977460860000001</v>
      </c>
      <c r="O676" s="419">
        <v>92.484466549999993</v>
      </c>
      <c r="P676" s="419" t="s">
        <v>799</v>
      </c>
      <c r="Q676" s="419" t="s">
        <v>780</v>
      </c>
      <c r="R676" s="422"/>
      <c r="S676" s="423"/>
      <c r="T676" s="442"/>
      <c r="U676" s="424"/>
      <c r="V676" s="419" t="s">
        <v>668</v>
      </c>
      <c r="W676" s="419"/>
      <c r="X676" s="542"/>
      <c r="Y676" s="542"/>
      <c r="Z676" s="542"/>
    </row>
    <row r="677" spans="1:26" s="71" customFormat="1" ht="14.25" customHeight="1">
      <c r="A677" s="419" t="s">
        <v>2706</v>
      </c>
      <c r="B677" s="419" t="s">
        <v>323</v>
      </c>
      <c r="C677" s="419" t="s">
        <v>667</v>
      </c>
      <c r="D677" s="472" t="s">
        <v>1654</v>
      </c>
      <c r="E677" s="71">
        <v>198187</v>
      </c>
      <c r="J677" s="71" t="s">
        <v>798</v>
      </c>
      <c r="K677" s="71" t="s">
        <v>798</v>
      </c>
      <c r="L677" s="71" t="s">
        <v>798</v>
      </c>
      <c r="M677" s="71" t="s">
        <v>795</v>
      </c>
      <c r="N677" s="71">
        <v>20.974870679999999</v>
      </c>
      <c r="O677" s="71">
        <v>92.483711240000005</v>
      </c>
      <c r="P677" s="71" t="s">
        <v>799</v>
      </c>
      <c r="Q677" s="71" t="s">
        <v>780</v>
      </c>
      <c r="R677" s="99"/>
      <c r="S677" s="100"/>
      <c r="T677" s="105"/>
      <c r="U677" s="101"/>
      <c r="V677" s="71" t="s">
        <v>667</v>
      </c>
      <c r="X677" s="542"/>
      <c r="Y677" s="542"/>
      <c r="Z677" s="542"/>
    </row>
    <row r="678" spans="1:26" s="71" customFormat="1" ht="14.25" customHeight="1">
      <c r="A678" s="419" t="s">
        <v>2706</v>
      </c>
      <c r="B678" s="419" t="s">
        <v>323</v>
      </c>
      <c r="C678" s="419" t="s">
        <v>638</v>
      </c>
      <c r="D678" s="472" t="s">
        <v>1654</v>
      </c>
      <c r="E678" s="71">
        <v>198313</v>
      </c>
      <c r="J678" s="71" t="s">
        <v>798</v>
      </c>
      <c r="K678" s="71" t="s">
        <v>798</v>
      </c>
      <c r="L678" s="71" t="s">
        <v>798</v>
      </c>
      <c r="M678" s="71" t="s">
        <v>298</v>
      </c>
      <c r="N678" s="71">
        <v>20.849060059999999</v>
      </c>
      <c r="O678" s="71">
        <v>92.497413640000005</v>
      </c>
      <c r="P678" s="71" t="s">
        <v>799</v>
      </c>
      <c r="Q678" s="71" t="s">
        <v>802</v>
      </c>
      <c r="R678" s="422"/>
      <c r="S678" s="100"/>
      <c r="T678" s="105">
        <v>42926</v>
      </c>
      <c r="U678" s="101" t="s">
        <v>933</v>
      </c>
      <c r="W678" s="419"/>
      <c r="X678" s="542"/>
      <c r="Y678" s="542"/>
      <c r="Z678" s="542"/>
    </row>
    <row r="679" spans="1:26" s="71" customFormat="1" ht="14.25" customHeight="1">
      <c r="A679" s="419" t="s">
        <v>2706</v>
      </c>
      <c r="B679" s="419" t="s">
        <v>323</v>
      </c>
      <c r="C679" s="419" t="s">
        <v>644</v>
      </c>
      <c r="D679" s="472" t="s">
        <v>1654</v>
      </c>
      <c r="E679" s="71">
        <v>198301</v>
      </c>
      <c r="J679" s="71" t="s">
        <v>798</v>
      </c>
      <c r="K679" s="71" t="s">
        <v>798</v>
      </c>
      <c r="L679" s="71" t="s">
        <v>798</v>
      </c>
      <c r="M679" s="71" t="s">
        <v>795</v>
      </c>
      <c r="N679" s="71">
        <v>20.876710889999998</v>
      </c>
      <c r="O679" s="71">
        <v>92.537406919999995</v>
      </c>
      <c r="P679" s="71" t="s">
        <v>799</v>
      </c>
      <c r="Q679" s="71" t="s">
        <v>780</v>
      </c>
      <c r="R679" s="422"/>
      <c r="S679" s="100"/>
      <c r="T679" s="105"/>
      <c r="U679" s="424"/>
      <c r="V679" s="71" t="s">
        <v>644</v>
      </c>
      <c r="W679" s="419"/>
      <c r="X679" s="542"/>
      <c r="Y679" s="542"/>
      <c r="Z679" s="542"/>
    </row>
    <row r="680" spans="1:26" s="71" customFormat="1" ht="14.25" customHeight="1">
      <c r="A680" s="419" t="s">
        <v>2706</v>
      </c>
      <c r="B680" s="419" t="s">
        <v>323</v>
      </c>
      <c r="C680" s="419" t="s">
        <v>545</v>
      </c>
      <c r="D680" s="472" t="s">
        <v>1654</v>
      </c>
      <c r="E680" s="71">
        <v>198444</v>
      </c>
      <c r="J680" s="71" t="s">
        <v>798</v>
      </c>
      <c r="K680" s="419" t="s">
        <v>798</v>
      </c>
      <c r="L680" s="419" t="s">
        <v>798</v>
      </c>
      <c r="M680" s="71" t="s">
        <v>795</v>
      </c>
      <c r="N680" s="71">
        <v>20.687610630000002</v>
      </c>
      <c r="O680" s="71">
        <v>92.617988589999996</v>
      </c>
      <c r="P680" s="71" t="s">
        <v>799</v>
      </c>
      <c r="Q680" s="71" t="s">
        <v>780</v>
      </c>
      <c r="R680" s="422"/>
      <c r="S680" s="423"/>
      <c r="T680" s="105"/>
      <c r="U680" s="101"/>
      <c r="V680" s="71" t="s">
        <v>545</v>
      </c>
      <c r="W680" s="419"/>
      <c r="X680" s="542"/>
      <c r="Y680" s="542"/>
      <c r="Z680" s="542"/>
    </row>
    <row r="681" spans="1:26" s="71" customFormat="1" ht="14.25" customHeight="1">
      <c r="A681" s="542" t="s">
        <v>2706</v>
      </c>
      <c r="B681" s="542" t="s">
        <v>323</v>
      </c>
      <c r="C681" s="542" t="s">
        <v>663</v>
      </c>
      <c r="D681" s="472" t="s">
        <v>1654</v>
      </c>
      <c r="E681" s="542">
        <v>217866</v>
      </c>
      <c r="F681" s="542"/>
      <c r="G681" s="542"/>
      <c r="H681" s="542"/>
      <c r="I681" s="542"/>
      <c r="J681" s="71" t="s">
        <v>798</v>
      </c>
      <c r="K681" s="71" t="s">
        <v>798</v>
      </c>
      <c r="L681" s="71" t="s">
        <v>798</v>
      </c>
      <c r="M681" s="542" t="s">
        <v>795</v>
      </c>
      <c r="N681" s="542">
        <v>20.936349870000001</v>
      </c>
      <c r="O681" s="542">
        <v>92.468246460000003</v>
      </c>
      <c r="P681" s="542" t="s">
        <v>799</v>
      </c>
      <c r="Q681" s="542" t="s">
        <v>780</v>
      </c>
      <c r="R681" s="548"/>
      <c r="S681" s="549"/>
      <c r="T681" s="568"/>
      <c r="U681" s="550"/>
      <c r="V681" s="542" t="s">
        <v>663</v>
      </c>
      <c r="W681" s="542"/>
      <c r="X681" s="542"/>
      <c r="Y681" s="542"/>
      <c r="Z681" s="542"/>
    </row>
    <row r="682" spans="1:26" s="71" customFormat="1" ht="14.25" customHeight="1">
      <c r="A682" s="480" t="s">
        <v>2706</v>
      </c>
      <c r="B682" s="488" t="s">
        <v>323</v>
      </c>
      <c r="C682" s="492" t="s">
        <v>613</v>
      </c>
      <c r="D682" s="547" t="s">
        <v>1655</v>
      </c>
      <c r="E682" s="482">
        <v>198336</v>
      </c>
      <c r="F682" s="482" t="s">
        <v>1664</v>
      </c>
      <c r="G682" s="482" t="s">
        <v>1665</v>
      </c>
      <c r="H682" s="482"/>
      <c r="I682" s="482"/>
      <c r="J682" s="419" t="s">
        <v>798</v>
      </c>
      <c r="K682" s="419" t="s">
        <v>798</v>
      </c>
      <c r="L682" s="419" t="s">
        <v>798</v>
      </c>
      <c r="M682" s="482" t="s">
        <v>298</v>
      </c>
      <c r="N682" s="482">
        <v>20.80558014</v>
      </c>
      <c r="O682" s="482">
        <v>92.549842830000003</v>
      </c>
      <c r="P682" s="482" t="s">
        <v>799</v>
      </c>
      <c r="Q682" s="482" t="s">
        <v>802</v>
      </c>
      <c r="R682" s="483"/>
      <c r="S682" s="480"/>
      <c r="T682" s="484">
        <v>42926</v>
      </c>
      <c r="U682" s="485" t="s">
        <v>803</v>
      </c>
      <c r="V682" s="486"/>
      <c r="W682" s="548"/>
      <c r="X682" s="542"/>
      <c r="Y682" s="542"/>
      <c r="Z682" s="542"/>
    </row>
    <row r="683" spans="1:26" s="71" customFormat="1" ht="14.25" customHeight="1">
      <c r="A683" s="419" t="s">
        <v>2706</v>
      </c>
      <c r="B683" s="420" t="s">
        <v>323</v>
      </c>
      <c r="C683" s="420" t="s">
        <v>2734</v>
      </c>
      <c r="D683" s="472"/>
      <c r="E683" s="419">
        <v>198356</v>
      </c>
      <c r="F683" s="419" t="s">
        <v>2742</v>
      </c>
      <c r="G683" s="419"/>
      <c r="H683" s="419"/>
      <c r="I683" s="419"/>
      <c r="J683" s="419" t="s">
        <v>798</v>
      </c>
      <c r="K683" s="419" t="s">
        <v>798</v>
      </c>
      <c r="L683" s="419" t="s">
        <v>798</v>
      </c>
      <c r="M683" s="419"/>
      <c r="N683" s="419">
        <v>20.821479797363299</v>
      </c>
      <c r="O683" s="419">
        <v>92.603950500488295</v>
      </c>
      <c r="P683" s="419"/>
      <c r="Q683" s="419" t="s">
        <v>2682</v>
      </c>
      <c r="R683" s="422"/>
      <c r="S683" s="423"/>
      <c r="T683" s="442">
        <v>43580</v>
      </c>
      <c r="U683" s="424" t="s">
        <v>2736</v>
      </c>
      <c r="V683" s="419"/>
      <c r="W683" s="419"/>
      <c r="X683" s="542"/>
      <c r="Y683" s="542"/>
      <c r="Z683" s="542"/>
    </row>
    <row r="684" spans="1:26" s="71" customFormat="1" ht="14.25" customHeight="1">
      <c r="A684" s="419" t="s">
        <v>2706</v>
      </c>
      <c r="B684" s="420" t="s">
        <v>323</v>
      </c>
      <c r="C684" s="420" t="s">
        <v>624</v>
      </c>
      <c r="D684" s="472" t="s">
        <v>1654</v>
      </c>
      <c r="E684" s="542">
        <v>198356</v>
      </c>
      <c r="F684" s="419"/>
      <c r="G684" s="419"/>
      <c r="H684" s="419"/>
      <c r="I684" s="419"/>
      <c r="J684" s="419" t="s">
        <v>798</v>
      </c>
      <c r="K684" s="419" t="s">
        <v>798</v>
      </c>
      <c r="L684" s="419" t="s">
        <v>798</v>
      </c>
      <c r="M684" s="419" t="s">
        <v>795</v>
      </c>
      <c r="N684" s="419">
        <v>20.821479799999999</v>
      </c>
      <c r="O684" s="419">
        <v>92.603950499999996</v>
      </c>
      <c r="P684" s="419" t="s">
        <v>799</v>
      </c>
      <c r="Q684" s="419" t="s">
        <v>780</v>
      </c>
      <c r="R684" s="422"/>
      <c r="S684" s="423"/>
      <c r="T684" s="442"/>
      <c r="U684" s="424"/>
      <c r="V684" s="419" t="s">
        <v>624</v>
      </c>
      <c r="W684" s="419"/>
      <c r="X684" s="542"/>
      <c r="Y684" s="542"/>
      <c r="Z684" s="542"/>
    </row>
    <row r="685" spans="1:26" s="71" customFormat="1" ht="14.25" customHeight="1">
      <c r="A685" s="419" t="s">
        <v>2706</v>
      </c>
      <c r="B685" s="546" t="s">
        <v>323</v>
      </c>
      <c r="C685" s="546" t="s">
        <v>2678</v>
      </c>
      <c r="D685" s="472"/>
      <c r="E685" s="546">
        <v>198369</v>
      </c>
      <c r="H685" s="419"/>
      <c r="J685" s="71" t="s">
        <v>2715</v>
      </c>
      <c r="K685" s="71" t="s">
        <v>2677</v>
      </c>
      <c r="L685" s="71" t="s">
        <v>2677</v>
      </c>
      <c r="Q685" s="419"/>
      <c r="R685" s="422"/>
      <c r="S685" s="423"/>
      <c r="T685" s="442"/>
      <c r="U685" s="101"/>
      <c r="V685" s="542"/>
      <c r="X685" s="542"/>
      <c r="Y685" s="542"/>
      <c r="Z685" s="542"/>
    </row>
    <row r="686" spans="1:26" s="71" customFormat="1" ht="14.25" customHeight="1">
      <c r="A686" s="419" t="s">
        <v>2706</v>
      </c>
      <c r="B686" s="419" t="s">
        <v>323</v>
      </c>
      <c r="C686" s="413" t="s">
        <v>617</v>
      </c>
      <c r="D686" s="472" t="s">
        <v>1654</v>
      </c>
      <c r="E686" s="71">
        <v>198369</v>
      </c>
      <c r="J686" s="71" t="s">
        <v>798</v>
      </c>
      <c r="K686" s="71" t="s">
        <v>798</v>
      </c>
      <c r="L686" s="71" t="s">
        <v>798</v>
      </c>
      <c r="M686" s="71" t="s">
        <v>795</v>
      </c>
      <c r="N686" s="71">
        <v>20.806030270000001</v>
      </c>
      <c r="O686" s="71">
        <v>92.601951600000007</v>
      </c>
      <c r="P686" s="71" t="s">
        <v>799</v>
      </c>
      <c r="Q686" s="71" t="s">
        <v>780</v>
      </c>
      <c r="R686" s="99"/>
      <c r="S686" s="100"/>
      <c r="T686" s="105"/>
      <c r="U686" s="101"/>
      <c r="V686" s="413" t="s">
        <v>617</v>
      </c>
      <c r="X686" s="542"/>
      <c r="Y686" s="542"/>
      <c r="Z686" s="542"/>
    </row>
    <row r="687" spans="1:26" s="71" customFormat="1" ht="14.25" customHeight="1">
      <c r="A687" s="419" t="s">
        <v>2706</v>
      </c>
      <c r="B687" s="542" t="s">
        <v>323</v>
      </c>
      <c r="C687" s="542" t="s">
        <v>608</v>
      </c>
      <c r="D687" s="472" t="s">
        <v>1654</v>
      </c>
      <c r="E687" s="71">
        <v>198368</v>
      </c>
      <c r="F687" s="542"/>
      <c r="J687" s="71" t="s">
        <v>798</v>
      </c>
      <c r="K687" s="71" t="s">
        <v>798</v>
      </c>
      <c r="L687" s="71" t="s">
        <v>798</v>
      </c>
      <c r="M687" s="71" t="s">
        <v>298</v>
      </c>
      <c r="N687" s="71">
        <v>20.80282021</v>
      </c>
      <c r="O687" s="71">
        <v>92.599418639999996</v>
      </c>
      <c r="P687" s="71" t="s">
        <v>799</v>
      </c>
      <c r="Q687" s="71" t="s">
        <v>780</v>
      </c>
      <c r="R687" s="99"/>
      <c r="S687" s="100"/>
      <c r="T687" s="105"/>
      <c r="U687" s="101"/>
      <c r="V687" s="71" t="s">
        <v>608</v>
      </c>
      <c r="X687" s="542"/>
      <c r="Y687" s="542"/>
      <c r="Z687" s="542"/>
    </row>
    <row r="688" spans="1:26" s="71" customFormat="1" ht="14.25" customHeight="1">
      <c r="A688" s="419" t="s">
        <v>2706</v>
      </c>
      <c r="B688" s="420" t="s">
        <v>323</v>
      </c>
      <c r="C688" s="420" t="s">
        <v>584</v>
      </c>
      <c r="D688" s="472" t="s">
        <v>1654</v>
      </c>
      <c r="E688" s="71">
        <v>217879</v>
      </c>
      <c r="F688" s="546"/>
      <c r="J688" s="71" t="s">
        <v>798</v>
      </c>
      <c r="K688" s="71" t="s">
        <v>798</v>
      </c>
      <c r="L688" s="71" t="s">
        <v>798</v>
      </c>
      <c r="M688" s="71" t="s">
        <v>298</v>
      </c>
      <c r="N688" s="71">
        <v>20.7494297</v>
      </c>
      <c r="O688" s="71">
        <v>92.528648380000007</v>
      </c>
      <c r="P688" s="71" t="s">
        <v>799</v>
      </c>
      <c r="Q688" s="71" t="s">
        <v>780</v>
      </c>
      <c r="R688" s="99"/>
      <c r="S688" s="423"/>
      <c r="T688" s="105"/>
      <c r="U688" s="101"/>
      <c r="V688" s="71" t="s">
        <v>584</v>
      </c>
      <c r="W688" s="419"/>
      <c r="X688" s="542"/>
      <c r="Y688" s="542"/>
      <c r="Z688" s="542"/>
    </row>
    <row r="689" spans="1:26" s="71" customFormat="1" ht="14.25" customHeight="1">
      <c r="A689" s="419" t="s">
        <v>2706</v>
      </c>
      <c r="B689" s="420" t="s">
        <v>323</v>
      </c>
      <c r="C689" s="420" t="s">
        <v>2570</v>
      </c>
      <c r="D689" s="472"/>
      <c r="E689" s="71">
        <v>198404</v>
      </c>
      <c r="F689" s="419" t="s">
        <v>2688</v>
      </c>
      <c r="J689" s="419" t="s">
        <v>2715</v>
      </c>
      <c r="K689" s="419" t="s">
        <v>2677</v>
      </c>
      <c r="L689" s="71" t="s">
        <v>2677</v>
      </c>
      <c r="M689" s="71" t="s">
        <v>298</v>
      </c>
      <c r="N689" s="71">
        <v>20.769779209999999</v>
      </c>
      <c r="O689" s="71">
        <v>92.604240419999996</v>
      </c>
      <c r="P689" s="71" t="s">
        <v>799</v>
      </c>
      <c r="Q689" s="71" t="s">
        <v>2682</v>
      </c>
      <c r="R689" s="99"/>
      <c r="S689" s="100"/>
      <c r="T689" s="105"/>
      <c r="U689" s="101"/>
      <c r="W689" s="419"/>
      <c r="X689" s="542"/>
      <c r="Y689" s="542"/>
      <c r="Z689" s="542"/>
    </row>
    <row r="690" spans="1:26" s="71" customFormat="1" ht="14.25" customHeight="1">
      <c r="A690" s="419" t="s">
        <v>2706</v>
      </c>
      <c r="B690" s="546" t="s">
        <v>323</v>
      </c>
      <c r="C690" s="546" t="s">
        <v>2572</v>
      </c>
      <c r="D690" s="472"/>
      <c r="E690" s="71">
        <v>198303</v>
      </c>
      <c r="F690" s="71" t="s">
        <v>2689</v>
      </c>
      <c r="J690" s="419" t="s">
        <v>798</v>
      </c>
      <c r="K690" s="419" t="s">
        <v>798</v>
      </c>
      <c r="L690" s="419" t="s">
        <v>798</v>
      </c>
      <c r="M690" s="71" t="s">
        <v>298</v>
      </c>
      <c r="N690" s="71">
        <v>20.892290119999998</v>
      </c>
      <c r="O690" s="71">
        <v>92.550079350000004</v>
      </c>
      <c r="Q690" s="71" t="s">
        <v>2682</v>
      </c>
      <c r="R690" s="422"/>
      <c r="S690" s="100"/>
      <c r="T690" s="105"/>
      <c r="U690" s="101"/>
      <c r="X690" s="542"/>
      <c r="Y690" s="542"/>
      <c r="Z690" s="542"/>
    </row>
    <row r="691" spans="1:26" s="71" customFormat="1" ht="14.25" customHeight="1">
      <c r="A691" s="419" t="s">
        <v>2706</v>
      </c>
      <c r="B691" s="542" t="s">
        <v>323</v>
      </c>
      <c r="C691" s="542" t="s">
        <v>653</v>
      </c>
      <c r="D691" s="472" t="s">
        <v>1654</v>
      </c>
      <c r="E691" s="71">
        <v>198303</v>
      </c>
      <c r="F691" s="71" t="s">
        <v>2689</v>
      </c>
      <c r="J691" s="71" t="s">
        <v>798</v>
      </c>
      <c r="K691" s="71" t="s">
        <v>798</v>
      </c>
      <c r="L691" s="71" t="s">
        <v>798</v>
      </c>
      <c r="M691" s="71" t="s">
        <v>795</v>
      </c>
      <c r="N691" s="71">
        <v>20.892290119999998</v>
      </c>
      <c r="O691" s="71">
        <v>92.550079350000004</v>
      </c>
      <c r="P691" s="71" t="s">
        <v>799</v>
      </c>
      <c r="Q691" s="71" t="s">
        <v>780</v>
      </c>
      <c r="R691" s="548"/>
      <c r="S691" s="549"/>
      <c r="T691" s="105"/>
      <c r="U691" s="101"/>
      <c r="V691" s="71" t="s">
        <v>653</v>
      </c>
      <c r="X691" s="542"/>
      <c r="Y691" s="542"/>
      <c r="Z691" s="542"/>
    </row>
    <row r="692" spans="1:26" s="71" customFormat="1" ht="14.25" customHeight="1">
      <c r="A692" s="419" t="s">
        <v>2706</v>
      </c>
      <c r="B692" s="420" t="s">
        <v>323</v>
      </c>
      <c r="C692" s="420" t="s">
        <v>682</v>
      </c>
      <c r="D692" s="472" t="s">
        <v>1654</v>
      </c>
      <c r="E692" s="71">
        <v>198196</v>
      </c>
      <c r="F692" s="419"/>
      <c r="J692" s="71" t="s">
        <v>798</v>
      </c>
      <c r="K692" s="71" t="s">
        <v>798</v>
      </c>
      <c r="L692" s="71" t="s">
        <v>798</v>
      </c>
      <c r="M692" s="71" t="s">
        <v>298</v>
      </c>
      <c r="N692" s="71">
        <v>21.02563095</v>
      </c>
      <c r="O692" s="71">
        <v>92.524818420000003</v>
      </c>
      <c r="P692" s="71" t="s">
        <v>799</v>
      </c>
      <c r="Q692" s="71" t="s">
        <v>802</v>
      </c>
      <c r="R692" s="426"/>
      <c r="S692" s="427"/>
      <c r="T692" s="105">
        <v>42926</v>
      </c>
      <c r="U692" s="101" t="s">
        <v>803</v>
      </c>
      <c r="W692" s="419"/>
      <c r="X692" s="542"/>
      <c r="Y692" s="542"/>
      <c r="Z692" s="542"/>
    </row>
    <row r="693" spans="1:26" s="71" customFormat="1" ht="14.25" customHeight="1">
      <c r="A693" s="419" t="s">
        <v>2706</v>
      </c>
      <c r="B693" s="546" t="s">
        <v>323</v>
      </c>
      <c r="C693" s="546" t="s">
        <v>646</v>
      </c>
      <c r="D693" s="472" t="s">
        <v>1654</v>
      </c>
      <c r="E693" s="419">
        <v>198292</v>
      </c>
      <c r="F693" s="419"/>
      <c r="J693" s="419" t="s">
        <v>798</v>
      </c>
      <c r="K693" s="419" t="s">
        <v>798</v>
      </c>
      <c r="L693" s="419" t="s">
        <v>798</v>
      </c>
      <c r="M693" s="71" t="s">
        <v>795</v>
      </c>
      <c r="N693" s="71">
        <v>20.883680340000002</v>
      </c>
      <c r="O693" s="71">
        <v>92.569938660000005</v>
      </c>
      <c r="P693" s="71" t="s">
        <v>799</v>
      </c>
      <c r="Q693" s="71" t="s">
        <v>780</v>
      </c>
      <c r="R693" s="552"/>
      <c r="S693" s="553"/>
      <c r="T693" s="105"/>
      <c r="U693" s="424"/>
      <c r="V693" s="71" t="s">
        <v>946</v>
      </c>
      <c r="W693" s="419"/>
      <c r="X693" s="542"/>
      <c r="Y693" s="542"/>
      <c r="Z693" s="542"/>
    </row>
    <row r="694" spans="1:26" s="71" customFormat="1" ht="14.25" customHeight="1">
      <c r="A694" s="419" t="s">
        <v>2706</v>
      </c>
      <c r="B694" s="419" t="s">
        <v>323</v>
      </c>
      <c r="C694" s="419" t="s">
        <v>647</v>
      </c>
      <c r="D694" s="472" t="s">
        <v>1654</v>
      </c>
      <c r="E694" s="419">
        <v>198292</v>
      </c>
      <c r="F694" s="419"/>
      <c r="G694" s="419"/>
      <c r="H694" s="419"/>
      <c r="I694" s="419"/>
      <c r="J694" s="419" t="s">
        <v>798</v>
      </c>
      <c r="K694" s="419" t="s">
        <v>798</v>
      </c>
      <c r="L694" s="419" t="s">
        <v>798</v>
      </c>
      <c r="M694" s="71" t="s">
        <v>795</v>
      </c>
      <c r="N694" s="419">
        <v>20.883680340000002</v>
      </c>
      <c r="O694" s="419">
        <v>92.569938660000005</v>
      </c>
      <c r="P694" s="71" t="s">
        <v>799</v>
      </c>
      <c r="Q694" s="419" t="s">
        <v>780</v>
      </c>
      <c r="R694" s="422"/>
      <c r="S694" s="423"/>
      <c r="T694" s="442">
        <v>42745</v>
      </c>
      <c r="U694" s="424"/>
      <c r="V694" s="419"/>
      <c r="W694" s="419"/>
      <c r="X694" s="542"/>
      <c r="Y694" s="542"/>
      <c r="Z694" s="542"/>
    </row>
    <row r="695" spans="1:26" s="71" customFormat="1" ht="14.25" customHeight="1">
      <c r="A695" s="419" t="s">
        <v>2706</v>
      </c>
      <c r="B695" s="419" t="s">
        <v>323</v>
      </c>
      <c r="C695" s="419" t="s">
        <v>689</v>
      </c>
      <c r="D695" s="472" t="s">
        <v>1654</v>
      </c>
      <c r="E695" s="419">
        <v>198146</v>
      </c>
      <c r="F695" s="419"/>
      <c r="G695" s="419"/>
      <c r="H695" s="419"/>
      <c r="I695" s="419"/>
      <c r="J695" s="419" t="s">
        <v>804</v>
      </c>
      <c r="K695" s="419" t="s">
        <v>798</v>
      </c>
      <c r="L695" s="419" t="s">
        <v>804</v>
      </c>
      <c r="M695" s="419" t="s">
        <v>795</v>
      </c>
      <c r="N695" s="419">
        <v>21.098579409999999</v>
      </c>
      <c r="O695" s="419">
        <v>92.445549009999993</v>
      </c>
      <c r="P695" s="419" t="s">
        <v>923</v>
      </c>
      <c r="Q695" s="419" t="s">
        <v>802</v>
      </c>
      <c r="R695" s="422"/>
      <c r="S695" s="423"/>
      <c r="T695" s="442">
        <v>42926</v>
      </c>
      <c r="U695" s="424" t="s">
        <v>933</v>
      </c>
      <c r="V695" s="419"/>
      <c r="W695" s="419"/>
      <c r="X695" s="542"/>
      <c r="Y695" s="542"/>
      <c r="Z695" s="542"/>
    </row>
    <row r="696" spans="1:26" s="71" customFormat="1" ht="14.25" customHeight="1">
      <c r="A696" s="419" t="s">
        <v>2706</v>
      </c>
      <c r="B696" s="419" t="s">
        <v>323</v>
      </c>
      <c r="C696" s="419" t="s">
        <v>535</v>
      </c>
      <c r="D696" s="472" t="s">
        <v>1654</v>
      </c>
      <c r="E696" s="419">
        <v>217885</v>
      </c>
      <c r="F696" s="419"/>
      <c r="G696" s="419"/>
      <c r="H696" s="419"/>
      <c r="I696" s="419"/>
      <c r="J696" s="419" t="s">
        <v>798</v>
      </c>
      <c r="K696" s="419" t="s">
        <v>798</v>
      </c>
      <c r="L696" s="419" t="s">
        <v>798</v>
      </c>
      <c r="M696" s="71" t="s">
        <v>795</v>
      </c>
      <c r="N696" s="419">
        <v>20.676519389999999</v>
      </c>
      <c r="O696" s="419">
        <v>92.591667180000002</v>
      </c>
      <c r="P696" s="71" t="s">
        <v>799</v>
      </c>
      <c r="Q696" s="419" t="s">
        <v>780</v>
      </c>
      <c r="R696" s="422"/>
      <c r="S696" s="423"/>
      <c r="T696" s="442"/>
      <c r="U696" s="424"/>
      <c r="V696" s="419" t="s">
        <v>535</v>
      </c>
      <c r="W696" s="419"/>
      <c r="X696" s="542"/>
      <c r="Y696" s="542"/>
      <c r="Z696" s="542"/>
    </row>
    <row r="697" spans="1:26" s="71" customFormat="1" ht="14.25" customHeight="1">
      <c r="A697" s="419" t="s">
        <v>2706</v>
      </c>
      <c r="B697" s="419" t="s">
        <v>323</v>
      </c>
      <c r="C697" s="419" t="s">
        <v>664</v>
      </c>
      <c r="D697" s="472" t="s">
        <v>1654</v>
      </c>
      <c r="E697" s="419">
        <v>198164</v>
      </c>
      <c r="F697" s="419"/>
      <c r="G697" s="419"/>
      <c r="H697" s="419"/>
      <c r="I697" s="419"/>
      <c r="J697" s="419" t="s">
        <v>798</v>
      </c>
      <c r="K697" s="419" t="s">
        <v>798</v>
      </c>
      <c r="L697" s="419" t="s">
        <v>798</v>
      </c>
      <c r="M697" s="419" t="s">
        <v>951</v>
      </c>
      <c r="N697" s="419">
        <v>20.945800779999999</v>
      </c>
      <c r="O697" s="419">
        <v>92.471672060000003</v>
      </c>
      <c r="P697" s="419" t="s">
        <v>799</v>
      </c>
      <c r="Q697" s="419" t="s">
        <v>780</v>
      </c>
      <c r="R697" s="422"/>
      <c r="S697" s="423"/>
      <c r="T697" s="442"/>
      <c r="U697" s="424"/>
      <c r="V697" s="419" t="s">
        <v>664</v>
      </c>
      <c r="W697" s="419"/>
      <c r="X697" s="542"/>
      <c r="Y697" s="542"/>
      <c r="Z697" s="542"/>
    </row>
    <row r="698" spans="1:26" s="75" customFormat="1" ht="14.25" customHeight="1">
      <c r="A698" s="419" t="s">
        <v>2706</v>
      </c>
      <c r="B698" s="419" t="s">
        <v>323</v>
      </c>
      <c r="C698" s="419" t="s">
        <v>622</v>
      </c>
      <c r="D698" s="472" t="s">
        <v>1654</v>
      </c>
      <c r="E698" s="71">
        <v>198335</v>
      </c>
      <c r="F698" s="71"/>
      <c r="G698" s="71"/>
      <c r="H698" s="71"/>
      <c r="I698" s="71"/>
      <c r="J698" s="419" t="s">
        <v>798</v>
      </c>
      <c r="K698" s="419" t="s">
        <v>798</v>
      </c>
      <c r="L698" s="419" t="s">
        <v>798</v>
      </c>
      <c r="M698" s="71" t="s">
        <v>298</v>
      </c>
      <c r="N698" s="71">
        <v>20.818910599999999</v>
      </c>
      <c r="O698" s="71">
        <v>92.541358950000003</v>
      </c>
      <c r="P698" s="71" t="s">
        <v>799</v>
      </c>
      <c r="Q698" s="71" t="s">
        <v>780</v>
      </c>
      <c r="R698" s="99"/>
      <c r="S698" s="423"/>
      <c r="T698" s="105"/>
      <c r="U698" s="424"/>
      <c r="V698" s="71" t="s">
        <v>622</v>
      </c>
      <c r="W698" s="71"/>
      <c r="X698" s="546"/>
      <c r="Y698" s="546"/>
      <c r="Z698" s="546"/>
    </row>
    <row r="699" spans="1:26" s="71" customFormat="1" ht="14.25" customHeight="1">
      <c r="A699" s="419" t="s">
        <v>2706</v>
      </c>
      <c r="B699" s="419" t="s">
        <v>323</v>
      </c>
      <c r="C699" s="419" t="s">
        <v>656</v>
      </c>
      <c r="D699" s="472" t="s">
        <v>1654</v>
      </c>
      <c r="E699" s="419">
        <v>198316</v>
      </c>
      <c r="F699" s="419"/>
      <c r="G699" s="419"/>
      <c r="H699" s="419"/>
      <c r="I699" s="419"/>
      <c r="J699" s="71" t="s">
        <v>798</v>
      </c>
      <c r="K699" s="71" t="s">
        <v>798</v>
      </c>
      <c r="L699" s="71" t="s">
        <v>798</v>
      </c>
      <c r="M699" s="419" t="s">
        <v>795</v>
      </c>
      <c r="N699" s="419">
        <v>20.89318085</v>
      </c>
      <c r="O699" s="419">
        <v>92.493637079999999</v>
      </c>
      <c r="P699" s="71" t="s">
        <v>799</v>
      </c>
      <c r="Q699" s="419" t="s">
        <v>780</v>
      </c>
      <c r="R699" s="422"/>
      <c r="S699" s="423"/>
      <c r="T699" s="442"/>
      <c r="U699" s="424"/>
      <c r="V699" s="419" t="s">
        <v>656</v>
      </c>
      <c r="W699" s="419"/>
      <c r="X699" s="542"/>
      <c r="Y699" s="542"/>
      <c r="Z699" s="542"/>
    </row>
    <row r="700" spans="1:26" s="71" customFormat="1" ht="14.25" customHeight="1">
      <c r="A700" s="419" t="s">
        <v>2706</v>
      </c>
      <c r="B700" s="419" t="s">
        <v>323</v>
      </c>
      <c r="C700" s="419" t="s">
        <v>641</v>
      </c>
      <c r="D700" s="472" t="s">
        <v>1654</v>
      </c>
      <c r="E700" s="71">
        <v>198308</v>
      </c>
      <c r="J700" s="71" t="s">
        <v>804</v>
      </c>
      <c r="K700" s="71" t="s">
        <v>798</v>
      </c>
      <c r="L700" s="71" t="s">
        <v>804</v>
      </c>
      <c r="M700" s="71" t="s">
        <v>795</v>
      </c>
      <c r="N700" s="419">
        <v>20.863079070000001</v>
      </c>
      <c r="O700" s="419">
        <v>92.497192380000001</v>
      </c>
      <c r="P700" s="71" t="s">
        <v>923</v>
      </c>
      <c r="Q700" s="71" t="s">
        <v>802</v>
      </c>
      <c r="R700" s="422"/>
      <c r="S700" s="423"/>
      <c r="T700" s="105">
        <v>42926</v>
      </c>
      <c r="U700" s="101" t="s">
        <v>933</v>
      </c>
      <c r="X700" s="542"/>
      <c r="Y700" s="542"/>
      <c r="Z700" s="542"/>
    </row>
    <row r="701" spans="1:26" s="71" customFormat="1" ht="14.25" customHeight="1">
      <c r="A701" s="419" t="s">
        <v>2706</v>
      </c>
      <c r="B701" s="419" t="s">
        <v>323</v>
      </c>
      <c r="C701" s="419" t="s">
        <v>596</v>
      </c>
      <c r="D701" s="472" t="s">
        <v>1654</v>
      </c>
      <c r="E701" s="71">
        <v>220753</v>
      </c>
      <c r="J701" s="419" t="s">
        <v>804</v>
      </c>
      <c r="K701" s="419" t="s">
        <v>798</v>
      </c>
      <c r="L701" s="71" t="s">
        <v>804</v>
      </c>
      <c r="M701" s="71" t="s">
        <v>298</v>
      </c>
      <c r="N701" s="71">
        <v>20.782770159999998</v>
      </c>
      <c r="O701" s="71">
        <v>92.551826480000003</v>
      </c>
      <c r="P701" s="71" t="s">
        <v>923</v>
      </c>
      <c r="Q701" s="71" t="s">
        <v>802</v>
      </c>
      <c r="R701" s="422"/>
      <c r="S701" s="100"/>
      <c r="T701" s="105">
        <v>42926</v>
      </c>
      <c r="U701" s="101" t="s">
        <v>933</v>
      </c>
      <c r="X701" s="542"/>
      <c r="Y701" s="542"/>
      <c r="Z701" s="542"/>
    </row>
    <row r="702" spans="1:26" s="71" customFormat="1" ht="14.25" customHeight="1">
      <c r="A702" s="419" t="s">
        <v>2706</v>
      </c>
      <c r="B702" s="542" t="s">
        <v>323</v>
      </c>
      <c r="C702" s="542" t="s">
        <v>637</v>
      </c>
      <c r="D702" s="472" t="s">
        <v>1654</v>
      </c>
      <c r="E702" s="542">
        <v>198325</v>
      </c>
      <c r="F702" s="542"/>
      <c r="G702" s="542"/>
      <c r="H702" s="542"/>
      <c r="I702" s="542"/>
      <c r="J702" s="419" t="s">
        <v>804</v>
      </c>
      <c r="K702" s="419" t="s">
        <v>798</v>
      </c>
      <c r="L702" s="71" t="s">
        <v>804</v>
      </c>
      <c r="M702" s="542" t="s">
        <v>795</v>
      </c>
      <c r="N702" s="542">
        <v>20.839260100000001</v>
      </c>
      <c r="O702" s="542">
        <v>92.534591669999998</v>
      </c>
      <c r="P702" s="71" t="s">
        <v>923</v>
      </c>
      <c r="Q702" s="542" t="s">
        <v>802</v>
      </c>
      <c r="R702" s="548"/>
      <c r="S702" s="549"/>
      <c r="T702" s="568">
        <v>42926</v>
      </c>
      <c r="U702" s="550" t="s">
        <v>933</v>
      </c>
      <c r="V702" s="542"/>
      <c r="X702" s="542"/>
      <c r="Y702" s="542"/>
      <c r="Z702" s="542"/>
    </row>
    <row r="703" spans="1:26" s="71" customFormat="1" ht="14.25" customHeight="1">
      <c r="A703" s="419" t="s">
        <v>2706</v>
      </c>
      <c r="B703" s="546" t="s">
        <v>323</v>
      </c>
      <c r="C703" s="546" t="s">
        <v>328</v>
      </c>
      <c r="D703" s="473" t="s">
        <v>1654</v>
      </c>
      <c r="E703" s="546"/>
      <c r="F703" s="546"/>
      <c r="G703" s="546"/>
      <c r="H703" s="553"/>
      <c r="I703" s="546"/>
      <c r="J703" s="419" t="s">
        <v>804</v>
      </c>
      <c r="K703" s="419" t="s">
        <v>798</v>
      </c>
      <c r="L703" s="419" t="s">
        <v>804</v>
      </c>
      <c r="M703" s="546" t="s">
        <v>795</v>
      </c>
      <c r="N703" s="546"/>
      <c r="O703" s="546"/>
      <c r="P703" s="71" t="s">
        <v>923</v>
      </c>
      <c r="Q703" s="546" t="s">
        <v>802</v>
      </c>
      <c r="R703" s="552"/>
      <c r="S703" s="553"/>
      <c r="T703" s="569">
        <v>42926</v>
      </c>
      <c r="U703" s="554" t="s">
        <v>933</v>
      </c>
      <c r="V703" s="546"/>
      <c r="X703" s="542"/>
      <c r="Y703" s="542"/>
      <c r="Z703" s="542"/>
    </row>
    <row r="704" spans="1:26" s="71" customFormat="1" ht="14.25" customHeight="1">
      <c r="A704" s="542" t="s">
        <v>2706</v>
      </c>
      <c r="B704" s="542" t="s">
        <v>323</v>
      </c>
      <c r="C704" s="542" t="s">
        <v>572</v>
      </c>
      <c r="D704" s="472" t="s">
        <v>1654</v>
      </c>
      <c r="E704" s="419">
        <v>198432</v>
      </c>
      <c r="F704" s="419"/>
      <c r="G704" s="419"/>
      <c r="H704" s="419"/>
      <c r="I704" s="419"/>
      <c r="J704" s="419" t="s">
        <v>798</v>
      </c>
      <c r="K704" s="419" t="s">
        <v>798</v>
      </c>
      <c r="L704" s="419" t="s">
        <v>798</v>
      </c>
      <c r="M704" s="419" t="s">
        <v>795</v>
      </c>
      <c r="N704" s="419">
        <v>20.721290589999999</v>
      </c>
      <c r="O704" s="419">
        <v>92.605140689999999</v>
      </c>
      <c r="P704" s="419" t="s">
        <v>799</v>
      </c>
      <c r="Q704" s="419" t="s">
        <v>780</v>
      </c>
      <c r="R704" s="548"/>
      <c r="S704" s="423"/>
      <c r="T704" s="442"/>
      <c r="U704" s="550"/>
      <c r="V704" s="419" t="s">
        <v>572</v>
      </c>
      <c r="W704" s="542"/>
      <c r="X704" s="542"/>
      <c r="Y704" s="542"/>
      <c r="Z704" s="542"/>
    </row>
    <row r="705" spans="1:26" s="71" customFormat="1" ht="14.25" customHeight="1">
      <c r="A705" s="552" t="s">
        <v>2706</v>
      </c>
      <c r="B705" s="552" t="s">
        <v>323</v>
      </c>
      <c r="C705" s="553" t="s">
        <v>666</v>
      </c>
      <c r="D705" s="547" t="s">
        <v>1654</v>
      </c>
      <c r="E705" s="71">
        <v>198222</v>
      </c>
      <c r="J705" s="419" t="s">
        <v>804</v>
      </c>
      <c r="K705" s="419" t="s">
        <v>798</v>
      </c>
      <c r="L705" s="71" t="s">
        <v>804</v>
      </c>
      <c r="M705" s="71" t="s">
        <v>795</v>
      </c>
      <c r="N705" s="71">
        <v>20.962799069999999</v>
      </c>
      <c r="O705" s="71">
        <v>92.527702329999997</v>
      </c>
      <c r="P705" s="71" t="s">
        <v>923</v>
      </c>
      <c r="Q705" s="71" t="s">
        <v>802</v>
      </c>
      <c r="R705" s="556"/>
      <c r="S705" s="100"/>
      <c r="T705" s="105">
        <v>42926</v>
      </c>
      <c r="U705" s="556" t="s">
        <v>933</v>
      </c>
      <c r="W705" s="548"/>
      <c r="X705" s="542"/>
      <c r="Y705" s="542"/>
      <c r="Z705" s="542"/>
    </row>
    <row r="706" spans="1:26" s="71" customFormat="1" ht="14.25" customHeight="1">
      <c r="A706" s="419" t="s">
        <v>2706</v>
      </c>
      <c r="B706" s="419" t="s">
        <v>323</v>
      </c>
      <c r="C706" s="419" t="s">
        <v>2840</v>
      </c>
      <c r="D706" s="472"/>
      <c r="E706" s="419">
        <v>198289</v>
      </c>
      <c r="F706" s="419"/>
      <c r="G706" s="419"/>
      <c r="H706" s="419"/>
      <c r="I706" s="419"/>
      <c r="J706" s="419" t="s">
        <v>2715</v>
      </c>
      <c r="K706" s="419" t="s">
        <v>2677</v>
      </c>
      <c r="L706" s="419" t="s">
        <v>2677</v>
      </c>
      <c r="M706" s="419"/>
      <c r="N706" s="419">
        <v>20.838279724121101</v>
      </c>
      <c r="O706" s="419">
        <v>92.610900878906307</v>
      </c>
      <c r="P706" s="419"/>
      <c r="Q706" s="419"/>
      <c r="R706" s="422"/>
      <c r="S706" s="423"/>
      <c r="T706" s="442">
        <v>43591</v>
      </c>
      <c r="U706" s="424"/>
      <c r="V706" s="419"/>
      <c r="W706" s="419"/>
      <c r="X706" s="542"/>
      <c r="Y706" s="542"/>
      <c r="Z706" s="542"/>
    </row>
    <row r="707" spans="1:26" s="71" customFormat="1" ht="14.25" customHeight="1">
      <c r="A707" s="419" t="s">
        <v>2706</v>
      </c>
      <c r="B707" s="542" t="s">
        <v>323</v>
      </c>
      <c r="C707" s="542" t="s">
        <v>606</v>
      </c>
      <c r="D707" s="472" t="s">
        <v>1654</v>
      </c>
      <c r="E707" s="542">
        <v>198379</v>
      </c>
      <c r="F707" s="542"/>
      <c r="G707" s="542"/>
      <c r="H707" s="542"/>
      <c r="I707" s="542"/>
      <c r="J707" s="542" t="s">
        <v>798</v>
      </c>
      <c r="K707" s="542" t="s">
        <v>798</v>
      </c>
      <c r="L707" s="542" t="s">
        <v>798</v>
      </c>
      <c r="M707" s="542" t="s">
        <v>795</v>
      </c>
      <c r="N707" s="542">
        <v>20.79891014</v>
      </c>
      <c r="O707" s="542">
        <v>92.553680420000006</v>
      </c>
      <c r="P707" s="542" t="s">
        <v>799</v>
      </c>
      <c r="Q707" s="542" t="s">
        <v>780</v>
      </c>
      <c r="R707" s="548"/>
      <c r="S707" s="549"/>
      <c r="T707" s="568"/>
      <c r="U707" s="550"/>
      <c r="V707" s="542" t="s">
        <v>606</v>
      </c>
      <c r="W707" s="542"/>
      <c r="X707" s="542"/>
      <c r="Y707" s="542"/>
      <c r="Z707" s="542"/>
    </row>
    <row r="708" spans="1:26" s="71" customFormat="1" ht="14.25" customHeight="1">
      <c r="A708" s="419" t="s">
        <v>2706</v>
      </c>
      <c r="B708" s="206" t="s">
        <v>323</v>
      </c>
      <c r="C708" s="207" t="s">
        <v>635</v>
      </c>
      <c r="D708" s="547" t="s">
        <v>1654</v>
      </c>
      <c r="E708" s="590">
        <v>198332</v>
      </c>
      <c r="F708" s="202"/>
      <c r="G708" s="202"/>
      <c r="H708" s="202"/>
      <c r="I708" s="202"/>
      <c r="J708" s="202" t="s">
        <v>798</v>
      </c>
      <c r="K708" s="202" t="s">
        <v>798</v>
      </c>
      <c r="L708" s="202" t="s">
        <v>798</v>
      </c>
      <c r="M708" s="202" t="s">
        <v>795</v>
      </c>
      <c r="N708" s="202">
        <v>20.833719250000001</v>
      </c>
      <c r="O708" s="202">
        <v>92.534461980000003</v>
      </c>
      <c r="P708" s="202" t="s">
        <v>799</v>
      </c>
      <c r="Q708" s="202" t="s">
        <v>780</v>
      </c>
      <c r="R708" s="203"/>
      <c r="S708" s="201"/>
      <c r="T708" s="204"/>
      <c r="U708" s="205"/>
      <c r="V708" s="202" t="s">
        <v>635</v>
      </c>
      <c r="W708" s="548"/>
      <c r="X708" s="542"/>
      <c r="Y708" s="542"/>
      <c r="Z708" s="542"/>
    </row>
    <row r="709" spans="1:26" s="71" customFormat="1" ht="14.25" customHeight="1">
      <c r="A709" s="419" t="s">
        <v>2706</v>
      </c>
      <c r="B709" s="562" t="s">
        <v>323</v>
      </c>
      <c r="C709" s="561" t="s">
        <v>2569</v>
      </c>
      <c r="D709" s="472"/>
      <c r="E709" s="419">
        <v>198405</v>
      </c>
      <c r="F709" s="562" t="s">
        <v>2688</v>
      </c>
      <c r="G709" s="419"/>
      <c r="H709" s="419"/>
      <c r="I709" s="419"/>
      <c r="J709" s="419" t="s">
        <v>798</v>
      </c>
      <c r="K709" s="419" t="s">
        <v>798</v>
      </c>
      <c r="L709" s="419" t="s">
        <v>798</v>
      </c>
      <c r="M709" s="71" t="s">
        <v>795</v>
      </c>
      <c r="Q709" s="419" t="s">
        <v>2682</v>
      </c>
      <c r="R709" s="563"/>
      <c r="S709" s="564"/>
      <c r="T709" s="442"/>
      <c r="U709" s="424"/>
      <c r="W709" s="419"/>
      <c r="X709" s="542"/>
      <c r="Y709" s="542"/>
      <c r="Z709" s="542"/>
    </row>
    <row r="710" spans="1:26" s="71" customFormat="1" ht="14.25" customHeight="1">
      <c r="A710" s="419" t="s">
        <v>2706</v>
      </c>
      <c r="B710" s="437" t="s">
        <v>323</v>
      </c>
      <c r="C710" s="436" t="s">
        <v>650</v>
      </c>
      <c r="D710" s="472" t="s">
        <v>1654</v>
      </c>
      <c r="E710" s="419">
        <v>217871</v>
      </c>
      <c r="F710" s="546"/>
      <c r="G710" s="419"/>
      <c r="H710" s="419"/>
      <c r="I710" s="419"/>
      <c r="J710" s="419" t="s">
        <v>798</v>
      </c>
      <c r="K710" s="419" t="s">
        <v>798</v>
      </c>
      <c r="L710" s="71" t="s">
        <v>798</v>
      </c>
      <c r="M710" s="419" t="s">
        <v>795</v>
      </c>
      <c r="N710" s="419">
        <v>20.887029649999999</v>
      </c>
      <c r="O710" s="419">
        <v>92.556823730000005</v>
      </c>
      <c r="P710" s="71" t="s">
        <v>799</v>
      </c>
      <c r="Q710" s="419" t="s">
        <v>780</v>
      </c>
      <c r="R710" s="438"/>
      <c r="S710" s="439"/>
      <c r="T710" s="442"/>
      <c r="U710" s="424"/>
      <c r="V710" s="419" t="s">
        <v>650</v>
      </c>
      <c r="X710" s="542"/>
      <c r="Y710" s="542"/>
      <c r="Z710" s="542"/>
    </row>
    <row r="711" spans="1:26" s="71" customFormat="1" ht="14.25" customHeight="1">
      <c r="A711" s="419" t="s">
        <v>2706</v>
      </c>
      <c r="B711" s="437" t="s">
        <v>323</v>
      </c>
      <c r="C711" s="436" t="s">
        <v>1903</v>
      </c>
      <c r="D711" s="472"/>
      <c r="E711" s="71">
        <v>198177</v>
      </c>
      <c r="J711" s="71" t="s">
        <v>798</v>
      </c>
      <c r="K711" s="71" t="s">
        <v>798</v>
      </c>
      <c r="L711" s="71" t="s">
        <v>798</v>
      </c>
      <c r="M711" s="71" t="s">
        <v>951</v>
      </c>
      <c r="N711" s="71">
        <v>20.93604088</v>
      </c>
      <c r="O711" s="71">
        <v>92.475830079999994</v>
      </c>
      <c r="P711" s="71" t="s">
        <v>799</v>
      </c>
      <c r="Q711" s="71" t="s">
        <v>1908</v>
      </c>
      <c r="R711" s="438"/>
      <c r="S711" s="439"/>
      <c r="T711" s="105">
        <v>43245</v>
      </c>
      <c r="U711" s="101"/>
      <c r="X711" s="542"/>
      <c r="Y711" s="542"/>
      <c r="Z711" s="542"/>
    </row>
    <row r="712" spans="1:26" s="71" customFormat="1" ht="14.25" customHeight="1">
      <c r="A712" s="419" t="s">
        <v>2706</v>
      </c>
      <c r="B712" s="437" t="s">
        <v>323</v>
      </c>
      <c r="C712" s="436" t="s">
        <v>2591</v>
      </c>
      <c r="D712" s="472"/>
      <c r="F712" s="419"/>
      <c r="J712" s="71" t="s">
        <v>2715</v>
      </c>
      <c r="K712" s="71" t="s">
        <v>2677</v>
      </c>
      <c r="L712" s="71" t="s">
        <v>2677</v>
      </c>
      <c r="N712" s="419"/>
      <c r="O712" s="419"/>
      <c r="Q712" s="419"/>
      <c r="R712" s="438"/>
      <c r="S712" s="439"/>
      <c r="T712" s="442"/>
      <c r="U712" s="101"/>
      <c r="W712" s="419"/>
      <c r="X712" s="542"/>
      <c r="Y712" s="542"/>
      <c r="Z712" s="542"/>
    </row>
    <row r="713" spans="1:26" s="71" customFormat="1" ht="14.25" customHeight="1">
      <c r="A713" s="419" t="s">
        <v>2706</v>
      </c>
      <c r="B713" s="437" t="s">
        <v>323</v>
      </c>
      <c r="C713" s="436" t="s">
        <v>586</v>
      </c>
      <c r="D713" s="472" t="s">
        <v>1654</v>
      </c>
      <c r="E713" s="71">
        <v>198413</v>
      </c>
      <c r="F713" s="419"/>
      <c r="J713" s="71" t="s">
        <v>798</v>
      </c>
      <c r="K713" s="71" t="s">
        <v>798</v>
      </c>
      <c r="L713" s="71" t="s">
        <v>798</v>
      </c>
      <c r="M713" s="71" t="s">
        <v>298</v>
      </c>
      <c r="N713" s="71">
        <v>20.756410599999999</v>
      </c>
      <c r="O713" s="71">
        <v>92.63580322</v>
      </c>
      <c r="P713" s="71" t="s">
        <v>799</v>
      </c>
      <c r="Q713" s="71" t="s">
        <v>780</v>
      </c>
      <c r="R713" s="438"/>
      <c r="S713" s="439"/>
      <c r="T713" s="105"/>
      <c r="U713" s="101"/>
      <c r="V713" s="71" t="s">
        <v>586</v>
      </c>
      <c r="W713" s="419"/>
      <c r="X713" s="542"/>
      <c r="Y713" s="542"/>
      <c r="Z713" s="542"/>
    </row>
    <row r="714" spans="1:26" s="71" customFormat="1" ht="14.25" customHeight="1">
      <c r="A714" s="419" t="s">
        <v>2706</v>
      </c>
      <c r="B714" s="437" t="s">
        <v>323</v>
      </c>
      <c r="C714" s="436" t="s">
        <v>548</v>
      </c>
      <c r="D714" s="472" t="s">
        <v>1654</v>
      </c>
      <c r="E714" s="71">
        <v>198446</v>
      </c>
      <c r="J714" s="71" t="s">
        <v>798</v>
      </c>
      <c r="K714" s="419" t="s">
        <v>798</v>
      </c>
      <c r="L714" s="419" t="s">
        <v>798</v>
      </c>
      <c r="M714" s="71" t="s">
        <v>298</v>
      </c>
      <c r="N714" s="419">
        <v>20.691099170000001</v>
      </c>
      <c r="O714" s="419">
        <v>92.590652469999995</v>
      </c>
      <c r="P714" s="71" t="s">
        <v>799</v>
      </c>
      <c r="Q714" s="71" t="s">
        <v>780</v>
      </c>
      <c r="R714" s="438"/>
      <c r="S714" s="439"/>
      <c r="T714" s="105"/>
      <c r="U714" s="101"/>
      <c r="V714" s="71" t="s">
        <v>548</v>
      </c>
      <c r="W714" s="419"/>
      <c r="X714" s="542"/>
      <c r="Y714" s="542"/>
      <c r="Z714" s="542"/>
    </row>
    <row r="715" spans="1:26" s="71" customFormat="1" ht="14.25" customHeight="1">
      <c r="A715" s="419" t="s">
        <v>2706</v>
      </c>
      <c r="B715" s="437" t="s">
        <v>323</v>
      </c>
      <c r="C715" s="436" t="s">
        <v>655</v>
      </c>
      <c r="D715" s="472" t="s">
        <v>1654</v>
      </c>
      <c r="E715" s="419">
        <v>198297</v>
      </c>
      <c r="F715" s="419"/>
      <c r="G715" s="419"/>
      <c r="H715" s="419"/>
      <c r="I715" s="419"/>
      <c r="J715" s="419" t="s">
        <v>798</v>
      </c>
      <c r="K715" s="419" t="s">
        <v>798</v>
      </c>
      <c r="L715" s="419" t="s">
        <v>798</v>
      </c>
      <c r="M715" s="419" t="s">
        <v>795</v>
      </c>
      <c r="N715" s="419">
        <v>20.89270973</v>
      </c>
      <c r="O715" s="419">
        <v>92.562187190000003</v>
      </c>
      <c r="P715" s="419" t="s">
        <v>799</v>
      </c>
      <c r="Q715" s="419" t="s">
        <v>780</v>
      </c>
      <c r="R715" s="552"/>
      <c r="S715" s="553"/>
      <c r="T715" s="442"/>
      <c r="U715" s="424"/>
      <c r="V715" s="419" t="s">
        <v>655</v>
      </c>
      <c r="W715" s="419"/>
      <c r="X715" s="542"/>
      <c r="Y715" s="542"/>
      <c r="Z715" s="542"/>
    </row>
    <row r="716" spans="1:26" s="71" customFormat="1" ht="14.25" customHeight="1">
      <c r="A716" s="419" t="s">
        <v>2706</v>
      </c>
      <c r="B716" s="437" t="s">
        <v>323</v>
      </c>
      <c r="C716" s="436" t="s">
        <v>662</v>
      </c>
      <c r="D716" s="472" t="s">
        <v>1654</v>
      </c>
      <c r="E716" s="71">
        <v>198234</v>
      </c>
      <c r="F716" s="419"/>
      <c r="J716" s="71" t="s">
        <v>798</v>
      </c>
      <c r="K716" s="71" t="s">
        <v>798</v>
      </c>
      <c r="L716" s="71" t="s">
        <v>798</v>
      </c>
      <c r="M716" s="71" t="s">
        <v>298</v>
      </c>
      <c r="N716" s="71">
        <v>20.926780699999998</v>
      </c>
      <c r="O716" s="71">
        <v>92.539916989999995</v>
      </c>
      <c r="P716" s="71" t="s">
        <v>799</v>
      </c>
      <c r="Q716" s="71" t="s">
        <v>802</v>
      </c>
      <c r="R716" s="563"/>
      <c r="S716" s="564"/>
      <c r="T716" s="105">
        <v>42926</v>
      </c>
      <c r="U716" s="101" t="s">
        <v>803</v>
      </c>
      <c r="W716" s="419"/>
      <c r="X716" s="542"/>
      <c r="Y716" s="542"/>
      <c r="Z716" s="542"/>
    </row>
    <row r="717" spans="1:26" s="71" customFormat="1" ht="14.25" customHeight="1">
      <c r="A717" s="419" t="s">
        <v>2706</v>
      </c>
      <c r="B717" s="437" t="s">
        <v>323</v>
      </c>
      <c r="C717" s="436" t="s">
        <v>549</v>
      </c>
      <c r="D717" s="472" t="s">
        <v>1654</v>
      </c>
      <c r="E717" s="419">
        <v>198442</v>
      </c>
      <c r="F717" s="419"/>
      <c r="G717" s="419"/>
      <c r="H717" s="419"/>
      <c r="I717" s="419"/>
      <c r="J717" s="419" t="s">
        <v>798</v>
      </c>
      <c r="K717" s="419" t="s">
        <v>798</v>
      </c>
      <c r="L717" s="419" t="s">
        <v>798</v>
      </c>
      <c r="M717" s="419" t="s">
        <v>795</v>
      </c>
      <c r="N717" s="419">
        <v>20.692510599999999</v>
      </c>
      <c r="O717" s="419">
        <v>92.579689029999997</v>
      </c>
      <c r="P717" s="419" t="s">
        <v>799</v>
      </c>
      <c r="Q717" s="419" t="s">
        <v>780</v>
      </c>
      <c r="R717" s="438"/>
      <c r="S717" s="439"/>
      <c r="T717" s="442"/>
      <c r="U717" s="424"/>
      <c r="V717" s="419" t="s">
        <v>549</v>
      </c>
      <c r="W717" s="419"/>
      <c r="X717" s="542"/>
      <c r="Y717" s="542"/>
      <c r="Z717" s="542"/>
    </row>
    <row r="718" spans="1:26" s="71" customFormat="1" ht="14.25" customHeight="1">
      <c r="A718" s="419" t="s">
        <v>2706</v>
      </c>
      <c r="B718" s="437" t="s">
        <v>323</v>
      </c>
      <c r="C718" s="436" t="s">
        <v>648</v>
      </c>
      <c r="D718" s="472" t="s">
        <v>1654</v>
      </c>
      <c r="E718" s="71">
        <v>198302</v>
      </c>
      <c r="J718" s="71" t="s">
        <v>798</v>
      </c>
      <c r="K718" s="71" t="s">
        <v>798</v>
      </c>
      <c r="L718" s="71" t="s">
        <v>798</v>
      </c>
      <c r="M718" s="71" t="s">
        <v>795</v>
      </c>
      <c r="N718" s="71">
        <v>20.884159090000001</v>
      </c>
      <c r="O718" s="71">
        <v>92.551063540000001</v>
      </c>
      <c r="P718" s="71" t="s">
        <v>799</v>
      </c>
      <c r="Q718" s="71" t="s">
        <v>780</v>
      </c>
      <c r="R718" s="552"/>
      <c r="S718" s="553"/>
      <c r="T718" s="105"/>
      <c r="U718" s="101"/>
      <c r="V718" s="71" t="s">
        <v>648</v>
      </c>
      <c r="W718" s="419"/>
      <c r="X718" s="542"/>
      <c r="Y718" s="542"/>
      <c r="Z718" s="542"/>
    </row>
    <row r="719" spans="1:26" s="71" customFormat="1" ht="14.25" customHeight="1">
      <c r="A719" s="419" t="s">
        <v>2706</v>
      </c>
      <c r="B719" s="566" t="s">
        <v>323</v>
      </c>
      <c r="C719" s="565" t="s">
        <v>525</v>
      </c>
      <c r="D719" s="472" t="s">
        <v>1654</v>
      </c>
      <c r="E719" s="419">
        <v>198449</v>
      </c>
      <c r="F719" s="419"/>
      <c r="J719" s="71" t="s">
        <v>798</v>
      </c>
      <c r="K719" s="71" t="s">
        <v>798</v>
      </c>
      <c r="L719" s="71" t="s">
        <v>798</v>
      </c>
      <c r="M719" s="71" t="s">
        <v>795</v>
      </c>
      <c r="N719" s="71">
        <v>20.663370130000001</v>
      </c>
      <c r="O719" s="71">
        <v>92.613876340000004</v>
      </c>
      <c r="P719" s="419" t="s">
        <v>799</v>
      </c>
      <c r="Q719" s="71" t="s">
        <v>780</v>
      </c>
      <c r="R719" s="422"/>
      <c r="S719" s="423"/>
      <c r="T719" s="105"/>
      <c r="U719" s="101"/>
      <c r="V719" s="71" t="s">
        <v>922</v>
      </c>
      <c r="X719" s="542"/>
      <c r="Y719" s="542"/>
      <c r="Z719" s="542"/>
    </row>
    <row r="720" spans="1:26" s="71" customFormat="1" ht="14.25" customHeight="1">
      <c r="A720" s="419" t="s">
        <v>2706</v>
      </c>
      <c r="B720" s="441" t="s">
        <v>323</v>
      </c>
      <c r="C720" s="561" t="s">
        <v>2558</v>
      </c>
      <c r="D720" s="472"/>
      <c r="E720" s="71">
        <v>198351</v>
      </c>
      <c r="F720" s="419" t="s">
        <v>2557</v>
      </c>
      <c r="J720" s="71" t="s">
        <v>798</v>
      </c>
      <c r="K720" s="71" t="s">
        <v>798</v>
      </c>
      <c r="L720" s="71" t="s">
        <v>798</v>
      </c>
      <c r="M720" s="71" t="s">
        <v>795</v>
      </c>
      <c r="Q720" s="71" t="s">
        <v>2682</v>
      </c>
      <c r="R720" s="422"/>
      <c r="S720" s="423"/>
      <c r="T720" s="105"/>
      <c r="U720" s="101"/>
      <c r="X720" s="542"/>
      <c r="Y720" s="542"/>
      <c r="Z720" s="542"/>
    </row>
    <row r="721" spans="1:26" s="71" customFormat="1" ht="14.25" customHeight="1">
      <c r="A721" s="542" t="s">
        <v>2706</v>
      </c>
      <c r="B721" s="566" t="s">
        <v>323</v>
      </c>
      <c r="C721" s="565" t="s">
        <v>578</v>
      </c>
      <c r="D721" s="472" t="s">
        <v>1654</v>
      </c>
      <c r="E721" s="419">
        <v>198400</v>
      </c>
      <c r="F721" s="419"/>
      <c r="J721" s="71" t="s">
        <v>804</v>
      </c>
      <c r="K721" s="71" t="s">
        <v>798</v>
      </c>
      <c r="L721" s="71" t="s">
        <v>804</v>
      </c>
      <c r="M721" s="71" t="s">
        <v>795</v>
      </c>
      <c r="N721" s="419">
        <v>20.733280180000001</v>
      </c>
      <c r="O721" s="419">
        <v>92.601409910000001</v>
      </c>
      <c r="P721" s="71" t="s">
        <v>923</v>
      </c>
      <c r="Q721" s="71" t="s">
        <v>802</v>
      </c>
      <c r="R721" s="548"/>
      <c r="S721" s="423"/>
      <c r="T721" s="442">
        <v>42926</v>
      </c>
      <c r="U721" s="550" t="s">
        <v>933</v>
      </c>
      <c r="W721" s="542"/>
      <c r="X721" s="542"/>
      <c r="Y721" s="542"/>
      <c r="Z721" s="542"/>
    </row>
    <row r="722" spans="1:26" s="71" customFormat="1" ht="14.25" customHeight="1">
      <c r="A722" s="552" t="s">
        <v>2706</v>
      </c>
      <c r="B722" s="563" t="s">
        <v>323</v>
      </c>
      <c r="C722" s="452" t="s">
        <v>588</v>
      </c>
      <c r="D722" s="421" t="s">
        <v>1654</v>
      </c>
      <c r="E722" s="542">
        <v>198408</v>
      </c>
      <c r="F722" s="542"/>
      <c r="G722" s="542"/>
      <c r="H722" s="542"/>
      <c r="I722" s="542"/>
      <c r="J722" s="419" t="s">
        <v>798</v>
      </c>
      <c r="K722" s="419" t="s">
        <v>798</v>
      </c>
      <c r="L722" s="71" t="s">
        <v>798</v>
      </c>
      <c r="M722" s="71" t="s">
        <v>298</v>
      </c>
      <c r="N722" s="542">
        <v>20.76407051</v>
      </c>
      <c r="O722" s="419">
        <v>92.631126399999999</v>
      </c>
      <c r="P722" s="71" t="s">
        <v>799</v>
      </c>
      <c r="Q722" s="542" t="s">
        <v>780</v>
      </c>
      <c r="R722" s="556"/>
      <c r="S722" s="549"/>
      <c r="T722" s="568"/>
      <c r="U722" s="556"/>
      <c r="V722" s="71" t="s">
        <v>588</v>
      </c>
      <c r="W722" s="422"/>
      <c r="X722" s="542"/>
      <c r="Y722" s="542"/>
      <c r="Z722" s="542"/>
    </row>
    <row r="723" spans="1:26" s="71" customFormat="1" ht="14.25" customHeight="1">
      <c r="A723" s="480" t="s">
        <v>2706</v>
      </c>
      <c r="B723" s="489" t="s">
        <v>323</v>
      </c>
      <c r="C723" s="493" t="s">
        <v>2797</v>
      </c>
      <c r="D723" s="547"/>
      <c r="E723" s="482">
        <v>198401</v>
      </c>
      <c r="F723" s="482"/>
      <c r="G723" s="482"/>
      <c r="H723" s="482"/>
      <c r="I723" s="482"/>
      <c r="J723" s="71" t="s">
        <v>2715</v>
      </c>
      <c r="K723" s="71" t="s">
        <v>2677</v>
      </c>
      <c r="L723" s="71" t="s">
        <v>2677</v>
      </c>
      <c r="N723" s="482">
        <v>20.765670776367202</v>
      </c>
      <c r="O723" s="71">
        <v>92.577812194824205</v>
      </c>
      <c r="Q723" s="482"/>
      <c r="R723" s="483"/>
      <c r="S723" s="480"/>
      <c r="T723" s="484">
        <v>43591</v>
      </c>
      <c r="U723" s="485"/>
      <c r="W723" s="548"/>
      <c r="X723" s="542"/>
      <c r="Y723" s="542"/>
      <c r="Z723" s="542"/>
    </row>
    <row r="724" spans="1:26" s="71" customFormat="1" ht="14.25" customHeight="1">
      <c r="A724" s="419" t="s">
        <v>2706</v>
      </c>
      <c r="B724" s="566" t="s">
        <v>323</v>
      </c>
      <c r="C724" s="565" t="s">
        <v>576</v>
      </c>
      <c r="D724" s="472"/>
      <c r="E724" s="419">
        <v>198418</v>
      </c>
      <c r="F724" s="71" t="s">
        <v>576</v>
      </c>
      <c r="J724" s="419" t="s">
        <v>798</v>
      </c>
      <c r="K724" s="419" t="s">
        <v>798</v>
      </c>
      <c r="L724" s="71" t="s">
        <v>798</v>
      </c>
      <c r="M724" s="71" t="s">
        <v>298</v>
      </c>
      <c r="N724" s="419">
        <v>20.7264194488525</v>
      </c>
      <c r="O724" s="419">
        <v>92.671180730000003</v>
      </c>
      <c r="P724" s="71" t="s">
        <v>799</v>
      </c>
      <c r="Q724" s="71" t="s">
        <v>2682</v>
      </c>
      <c r="R724" s="422"/>
      <c r="S724" s="423"/>
      <c r="T724" s="105">
        <v>43580</v>
      </c>
      <c r="U724" s="101" t="s">
        <v>2736</v>
      </c>
      <c r="V724" s="71" t="s">
        <v>576</v>
      </c>
      <c r="X724" s="542"/>
      <c r="Y724" s="542"/>
      <c r="Z724" s="542"/>
    </row>
    <row r="725" spans="1:26" s="71" customFormat="1" ht="14.25" customHeight="1">
      <c r="A725" s="419" t="s">
        <v>2706</v>
      </c>
      <c r="B725" s="562" t="s">
        <v>323</v>
      </c>
      <c r="C725" s="561" t="s">
        <v>537</v>
      </c>
      <c r="D725" s="472" t="s">
        <v>1654</v>
      </c>
      <c r="E725" s="71">
        <v>217886</v>
      </c>
      <c r="J725" s="71" t="s">
        <v>798</v>
      </c>
      <c r="K725" s="419" t="s">
        <v>798</v>
      </c>
      <c r="L725" s="419" t="s">
        <v>798</v>
      </c>
      <c r="M725" s="71" t="s">
        <v>795</v>
      </c>
      <c r="N725" s="419">
        <v>20.678150179999999</v>
      </c>
      <c r="O725" s="419">
        <v>92.587867739999993</v>
      </c>
      <c r="P725" s="71" t="s">
        <v>799</v>
      </c>
      <c r="Q725" s="71" t="s">
        <v>780</v>
      </c>
      <c r="R725" s="422"/>
      <c r="S725" s="423"/>
      <c r="T725" s="105"/>
      <c r="U725" s="101"/>
      <c r="V725" s="71" t="s">
        <v>537</v>
      </c>
      <c r="W725" s="419"/>
      <c r="X725" s="542"/>
      <c r="Y725" s="542"/>
      <c r="Z725" s="542"/>
    </row>
    <row r="726" spans="1:26" s="71" customFormat="1" ht="14.25" customHeight="1">
      <c r="A726" s="419" t="s">
        <v>2706</v>
      </c>
      <c r="B726" s="566" t="s">
        <v>323</v>
      </c>
      <c r="C726" s="565" t="s">
        <v>595</v>
      </c>
      <c r="D726" s="472" t="s">
        <v>1654</v>
      </c>
      <c r="E726" s="71">
        <v>198388</v>
      </c>
      <c r="J726" s="71" t="s">
        <v>798</v>
      </c>
      <c r="K726" s="419" t="s">
        <v>798</v>
      </c>
      <c r="L726" s="419" t="s">
        <v>798</v>
      </c>
      <c r="M726" s="71" t="s">
        <v>298</v>
      </c>
      <c r="N726" s="71">
        <v>20.782770159999998</v>
      </c>
      <c r="O726" s="71">
        <v>92.551826480000003</v>
      </c>
      <c r="P726" s="71" t="s">
        <v>799</v>
      </c>
      <c r="Q726" s="71" t="s">
        <v>802</v>
      </c>
      <c r="R726" s="422"/>
      <c r="S726" s="423"/>
      <c r="T726" s="105">
        <v>42926</v>
      </c>
      <c r="U726" s="101" t="s">
        <v>803</v>
      </c>
      <c r="X726" s="542"/>
      <c r="Y726" s="542"/>
      <c r="Z726" s="542"/>
    </row>
    <row r="727" spans="1:26" s="71" customFormat="1" ht="14.25" customHeight="1">
      <c r="A727" s="419" t="s">
        <v>2706</v>
      </c>
      <c r="B727" s="562" t="s">
        <v>323</v>
      </c>
      <c r="C727" s="561" t="s">
        <v>2560</v>
      </c>
      <c r="D727" s="472"/>
      <c r="F727" s="71" t="s">
        <v>2684</v>
      </c>
      <c r="J727" s="71" t="s">
        <v>798</v>
      </c>
      <c r="K727" s="419" t="s">
        <v>798</v>
      </c>
      <c r="L727" s="419" t="s">
        <v>798</v>
      </c>
      <c r="M727" s="71" t="s">
        <v>795</v>
      </c>
      <c r="Q727" s="71" t="s">
        <v>2682</v>
      </c>
      <c r="R727" s="422"/>
      <c r="S727" s="423"/>
      <c r="T727" s="105"/>
      <c r="U727" s="101"/>
      <c r="X727" s="542"/>
      <c r="Y727" s="542"/>
      <c r="Z727" s="542"/>
    </row>
    <row r="728" spans="1:26" s="71" customFormat="1" ht="14.25" customHeight="1">
      <c r="A728" s="419" t="s">
        <v>2706</v>
      </c>
      <c r="B728" s="437" t="s">
        <v>323</v>
      </c>
      <c r="C728" s="436" t="s">
        <v>590</v>
      </c>
      <c r="D728" s="472" t="s">
        <v>1654</v>
      </c>
      <c r="E728" s="71">
        <v>198409</v>
      </c>
      <c r="F728" s="71" t="s">
        <v>2690</v>
      </c>
      <c r="J728" s="71" t="s">
        <v>798</v>
      </c>
      <c r="K728" s="71" t="s">
        <v>798</v>
      </c>
      <c r="L728" s="71" t="s">
        <v>798</v>
      </c>
      <c r="M728" s="71" t="s">
        <v>298</v>
      </c>
      <c r="N728" s="71">
        <v>20.767719270000001</v>
      </c>
      <c r="O728" s="71">
        <v>92.631736759999995</v>
      </c>
      <c r="P728" s="71" t="s">
        <v>799</v>
      </c>
      <c r="Q728" s="71" t="s">
        <v>2682</v>
      </c>
      <c r="R728" s="422"/>
      <c r="S728" s="423"/>
      <c r="T728" s="105"/>
      <c r="U728" s="101"/>
      <c r="V728" s="71" t="s">
        <v>590</v>
      </c>
      <c r="X728" s="542"/>
      <c r="Y728" s="542"/>
      <c r="Z728" s="542"/>
    </row>
    <row r="729" spans="1:26" s="71" customFormat="1" ht="14.25" customHeight="1">
      <c r="A729" s="419" t="s">
        <v>2706</v>
      </c>
      <c r="B729" s="437" t="s">
        <v>323</v>
      </c>
      <c r="C729" s="436" t="s">
        <v>2859</v>
      </c>
      <c r="D729" s="472"/>
      <c r="E729" s="71">
        <v>198362</v>
      </c>
      <c r="J729" s="71" t="s">
        <v>2715</v>
      </c>
      <c r="K729" s="71" t="s">
        <v>2677</v>
      </c>
      <c r="L729" s="71" t="s">
        <v>2677</v>
      </c>
      <c r="R729" s="422"/>
      <c r="S729" s="423"/>
      <c r="T729" s="105"/>
      <c r="U729" s="101"/>
      <c r="W729" s="419"/>
      <c r="X729" s="542"/>
      <c r="Y729" s="542"/>
      <c r="Z729" s="542"/>
    </row>
    <row r="730" spans="1:26" s="71" customFormat="1" ht="14.25" customHeight="1">
      <c r="A730" s="419" t="s">
        <v>2706</v>
      </c>
      <c r="B730" s="437" t="s">
        <v>323</v>
      </c>
      <c r="C730" s="436" t="s">
        <v>659</v>
      </c>
      <c r="D730" s="472" t="s">
        <v>1654</v>
      </c>
      <c r="E730" s="71">
        <v>198318</v>
      </c>
      <c r="J730" s="71" t="s">
        <v>798</v>
      </c>
      <c r="K730" s="71" t="s">
        <v>798</v>
      </c>
      <c r="L730" s="71" t="s">
        <v>798</v>
      </c>
      <c r="M730" s="71" t="s">
        <v>795</v>
      </c>
      <c r="N730" s="71">
        <v>20.895900730000001</v>
      </c>
      <c r="O730" s="71">
        <v>92.497329710000002</v>
      </c>
      <c r="P730" s="71" t="s">
        <v>799</v>
      </c>
      <c r="Q730" s="71" t="s">
        <v>780</v>
      </c>
      <c r="R730" s="422"/>
      <c r="S730" s="423"/>
      <c r="T730" s="105"/>
      <c r="U730" s="101"/>
      <c r="V730" s="71" t="s">
        <v>659</v>
      </c>
      <c r="X730" s="542"/>
      <c r="Y730" s="542"/>
      <c r="Z730" s="542"/>
    </row>
    <row r="731" spans="1:26" s="71" customFormat="1" ht="14.25" customHeight="1">
      <c r="A731" s="419" t="s">
        <v>2706</v>
      </c>
      <c r="B731" s="437" t="s">
        <v>323</v>
      </c>
      <c r="C731" s="436" t="s">
        <v>645</v>
      </c>
      <c r="D731" s="472" t="s">
        <v>1654</v>
      </c>
      <c r="E731" s="71">
        <v>198299</v>
      </c>
      <c r="J731" s="71" t="s">
        <v>798</v>
      </c>
      <c r="K731" s="71" t="s">
        <v>798</v>
      </c>
      <c r="L731" s="71" t="s">
        <v>798</v>
      </c>
      <c r="M731" s="71" t="s">
        <v>795</v>
      </c>
      <c r="N731" s="71">
        <v>20.88254929</v>
      </c>
      <c r="O731" s="71">
        <v>92.551338200000004</v>
      </c>
      <c r="P731" s="71" t="s">
        <v>799</v>
      </c>
      <c r="Q731" s="71" t="s">
        <v>780</v>
      </c>
      <c r="R731" s="422"/>
      <c r="S731" s="423"/>
      <c r="T731" s="105"/>
      <c r="U731" s="101"/>
      <c r="V731" s="71" t="s">
        <v>945</v>
      </c>
      <c r="W731" s="419"/>
      <c r="X731" s="542"/>
      <c r="Y731" s="542"/>
      <c r="Z731" s="542"/>
    </row>
    <row r="732" spans="1:26" s="71" customFormat="1" ht="14.25" customHeight="1">
      <c r="A732" s="419" t="s">
        <v>2706</v>
      </c>
      <c r="B732" s="437" t="s">
        <v>323</v>
      </c>
      <c r="C732" s="436" t="s">
        <v>526</v>
      </c>
      <c r="D732" s="472" t="s">
        <v>1654</v>
      </c>
      <c r="E732" s="71">
        <v>198451</v>
      </c>
      <c r="J732" s="71" t="s">
        <v>798</v>
      </c>
      <c r="K732" s="71" t="s">
        <v>798</v>
      </c>
      <c r="L732" s="71" t="s">
        <v>798</v>
      </c>
      <c r="M732" s="71" t="s">
        <v>795</v>
      </c>
      <c r="N732" s="71">
        <v>20.663879390000002</v>
      </c>
      <c r="O732" s="71">
        <v>92.609306340000003</v>
      </c>
      <c r="P732" s="71" t="s">
        <v>799</v>
      </c>
      <c r="Q732" s="71" t="s">
        <v>780</v>
      </c>
      <c r="R732" s="422"/>
      <c r="S732" s="423"/>
      <c r="T732" s="105"/>
      <c r="U732" s="101"/>
      <c r="V732" s="71" t="s">
        <v>526</v>
      </c>
      <c r="W732" s="419"/>
      <c r="X732" s="542"/>
      <c r="Y732" s="542"/>
      <c r="Z732" s="542"/>
    </row>
    <row r="733" spans="1:26" s="71" customFormat="1" ht="14.25" customHeight="1">
      <c r="A733" s="419" t="s">
        <v>2706</v>
      </c>
      <c r="B733" s="437" t="s">
        <v>323</v>
      </c>
      <c r="C733" s="436" t="s">
        <v>528</v>
      </c>
      <c r="D733" s="472" t="s">
        <v>1654</v>
      </c>
      <c r="E733" s="419">
        <v>198452</v>
      </c>
      <c r="J733" s="71" t="s">
        <v>798</v>
      </c>
      <c r="K733" s="419" t="s">
        <v>798</v>
      </c>
      <c r="L733" s="419" t="s">
        <v>798</v>
      </c>
      <c r="M733" s="71" t="s">
        <v>298</v>
      </c>
      <c r="N733" s="71">
        <v>20.667749400000002</v>
      </c>
      <c r="O733" s="71">
        <v>92.608650209999993</v>
      </c>
      <c r="P733" s="71" t="s">
        <v>799</v>
      </c>
      <c r="Q733" s="71" t="s">
        <v>780</v>
      </c>
      <c r="R733" s="422"/>
      <c r="S733" s="100"/>
      <c r="T733" s="442"/>
      <c r="U733" s="101"/>
      <c r="V733" s="71" t="s">
        <v>528</v>
      </c>
      <c r="W733" s="419"/>
      <c r="X733" s="542"/>
      <c r="Y733" s="542"/>
      <c r="Z733" s="542"/>
    </row>
    <row r="734" spans="1:26" s="71" customFormat="1" ht="14.25" customHeight="1">
      <c r="A734" s="419" t="s">
        <v>2706</v>
      </c>
      <c r="B734" s="437" t="s">
        <v>323</v>
      </c>
      <c r="C734" s="436" t="s">
        <v>602</v>
      </c>
      <c r="D734" s="472" t="s">
        <v>1654</v>
      </c>
      <c r="E734" s="419">
        <v>198380</v>
      </c>
      <c r="F734" s="419"/>
      <c r="G734" s="419"/>
      <c r="H734" s="419"/>
      <c r="I734" s="419"/>
      <c r="J734" s="71" t="s">
        <v>798</v>
      </c>
      <c r="K734" s="419" t="s">
        <v>798</v>
      </c>
      <c r="L734" s="419" t="s">
        <v>798</v>
      </c>
      <c r="M734" s="71" t="s">
        <v>795</v>
      </c>
      <c r="N734" s="71">
        <v>20.787410739999999</v>
      </c>
      <c r="O734" s="71">
        <v>92.55155182</v>
      </c>
      <c r="P734" s="71" t="s">
        <v>799</v>
      </c>
      <c r="Q734" s="71" t="s">
        <v>780</v>
      </c>
      <c r="R734" s="422"/>
      <c r="S734" s="423"/>
      <c r="T734" s="442"/>
      <c r="U734" s="101"/>
      <c r="V734" s="71" t="s">
        <v>602</v>
      </c>
      <c r="X734" s="542"/>
      <c r="Y734" s="542"/>
      <c r="Z734" s="542"/>
    </row>
    <row r="735" spans="1:26" s="71" customFormat="1" ht="14.25" customHeight="1">
      <c r="A735" s="549" t="s">
        <v>2706</v>
      </c>
      <c r="B735" s="563" t="s">
        <v>323</v>
      </c>
      <c r="C735" s="452" t="s">
        <v>604</v>
      </c>
      <c r="D735" s="547" t="s">
        <v>1654</v>
      </c>
      <c r="E735" s="71">
        <v>198378</v>
      </c>
      <c r="J735" s="71" t="s">
        <v>798</v>
      </c>
      <c r="K735" s="71" t="s">
        <v>798</v>
      </c>
      <c r="L735" s="71" t="s">
        <v>798</v>
      </c>
      <c r="M735" s="71" t="s">
        <v>795</v>
      </c>
      <c r="N735" s="71">
        <v>20.791679380000001</v>
      </c>
      <c r="O735" s="71">
        <v>92.550903320000003</v>
      </c>
      <c r="P735" s="71" t="s">
        <v>799</v>
      </c>
      <c r="Q735" s="419" t="s">
        <v>780</v>
      </c>
      <c r="R735" s="556"/>
      <c r="S735" s="423"/>
      <c r="T735" s="442"/>
      <c r="U735" s="556"/>
      <c r="V735" s="71" t="s">
        <v>604</v>
      </c>
      <c r="W735" s="548"/>
      <c r="X735" s="542"/>
      <c r="Y735" s="542"/>
      <c r="Z735" s="542"/>
    </row>
    <row r="736" spans="1:26" s="71" customFormat="1" ht="14.25" customHeight="1">
      <c r="A736" s="419" t="s">
        <v>2706</v>
      </c>
      <c r="B736" s="437" t="s">
        <v>323</v>
      </c>
      <c r="C736" s="436" t="s">
        <v>2885</v>
      </c>
      <c r="D736" s="472"/>
      <c r="E736" s="419">
        <v>198407</v>
      </c>
      <c r="F736" s="419"/>
      <c r="G736" s="419"/>
      <c r="H736" s="419"/>
      <c r="I736" s="419"/>
      <c r="J736" s="419" t="s">
        <v>798</v>
      </c>
      <c r="K736" s="419" t="s">
        <v>798</v>
      </c>
      <c r="L736" s="419" t="s">
        <v>798</v>
      </c>
      <c r="M736" s="419" t="s">
        <v>795</v>
      </c>
      <c r="N736" s="419">
        <v>20.775840759277301</v>
      </c>
      <c r="O736" s="419">
        <v>92.613082885742202</v>
      </c>
      <c r="P736" s="419" t="s">
        <v>799</v>
      </c>
      <c r="Q736" s="419"/>
      <c r="R736" s="422"/>
      <c r="S736" s="423"/>
      <c r="T736" s="442"/>
      <c r="U736" s="424"/>
      <c r="V736" s="419" t="s">
        <v>593</v>
      </c>
      <c r="W736" s="419"/>
      <c r="X736" s="542"/>
      <c r="Y736" s="542"/>
      <c r="Z736" s="542"/>
    </row>
    <row r="737" spans="1:26" s="71" customFormat="1" ht="14.25" customHeight="1">
      <c r="A737" s="419" t="s">
        <v>2706</v>
      </c>
      <c r="B737" s="437" t="s">
        <v>323</v>
      </c>
      <c r="C737" s="436" t="s">
        <v>2562</v>
      </c>
      <c r="D737" s="472"/>
      <c r="E737" s="71">
        <v>198337</v>
      </c>
      <c r="F737" s="71" t="s">
        <v>613</v>
      </c>
      <c r="J737" s="71" t="s">
        <v>798</v>
      </c>
      <c r="K737" s="71" t="s">
        <v>798</v>
      </c>
      <c r="L737" s="71" t="s">
        <v>798</v>
      </c>
      <c r="M737" s="71" t="s">
        <v>298</v>
      </c>
      <c r="Q737" s="71" t="s">
        <v>2682</v>
      </c>
      <c r="R737" s="422"/>
      <c r="S737" s="423"/>
      <c r="T737" s="105"/>
      <c r="U737" s="101"/>
      <c r="X737" s="542"/>
      <c r="Y737" s="542"/>
      <c r="Z737" s="542"/>
    </row>
    <row r="738" spans="1:26" s="71" customFormat="1" ht="14.25" customHeight="1">
      <c r="A738" s="419" t="s">
        <v>2706</v>
      </c>
      <c r="B738" s="437" t="s">
        <v>323</v>
      </c>
      <c r="C738" s="436" t="s">
        <v>557</v>
      </c>
      <c r="D738" s="472" t="s">
        <v>1654</v>
      </c>
      <c r="E738" s="419">
        <v>198423</v>
      </c>
      <c r="F738" s="419"/>
      <c r="G738" s="419"/>
      <c r="H738" s="419"/>
      <c r="I738" s="419"/>
      <c r="J738" s="419" t="s">
        <v>798</v>
      </c>
      <c r="K738" s="419" t="s">
        <v>798</v>
      </c>
      <c r="L738" s="419" t="s">
        <v>798</v>
      </c>
      <c r="M738" s="419" t="s">
        <v>298</v>
      </c>
      <c r="N738" s="419">
        <v>20.707460399999999</v>
      </c>
      <c r="O738" s="419">
        <v>92.680862430000005</v>
      </c>
      <c r="P738" s="419" t="s">
        <v>799</v>
      </c>
      <c r="Q738" s="419" t="s">
        <v>780</v>
      </c>
      <c r="R738" s="422"/>
      <c r="S738" s="423"/>
      <c r="T738" s="442"/>
      <c r="U738" s="424"/>
      <c r="V738" s="419" t="s">
        <v>557</v>
      </c>
      <c r="W738" s="419"/>
      <c r="X738" s="542"/>
      <c r="Y738" s="542"/>
      <c r="Z738" s="542"/>
    </row>
    <row r="739" spans="1:26" s="71" customFormat="1" ht="14.25" customHeight="1">
      <c r="A739" s="419" t="s">
        <v>2706</v>
      </c>
      <c r="B739" s="566" t="s">
        <v>323</v>
      </c>
      <c r="C739" s="565" t="s">
        <v>2561</v>
      </c>
      <c r="D739" s="472"/>
      <c r="E739" s="71">
        <v>198363</v>
      </c>
      <c r="F739" s="71" t="s">
        <v>2684</v>
      </c>
      <c r="J739" s="71" t="s">
        <v>798</v>
      </c>
      <c r="K739" s="71" t="s">
        <v>798</v>
      </c>
      <c r="L739" s="71" t="s">
        <v>798</v>
      </c>
      <c r="M739" s="71" t="s">
        <v>298</v>
      </c>
      <c r="Q739" s="71" t="s">
        <v>2682</v>
      </c>
      <c r="R739" s="422"/>
      <c r="S739" s="423"/>
      <c r="T739" s="105"/>
      <c r="U739" s="101"/>
      <c r="X739" s="542"/>
      <c r="Y739" s="542"/>
      <c r="Z739" s="542"/>
    </row>
    <row r="740" spans="1:26" s="71" customFormat="1" ht="14.25" customHeight="1">
      <c r="A740" s="419" t="s">
        <v>2706</v>
      </c>
      <c r="B740" s="437" t="s">
        <v>323</v>
      </c>
      <c r="C740" s="436" t="s">
        <v>587</v>
      </c>
      <c r="D740" s="472" t="s">
        <v>1654</v>
      </c>
      <c r="E740" s="71">
        <v>198391</v>
      </c>
      <c r="J740" s="71" t="s">
        <v>798</v>
      </c>
      <c r="K740" s="419" t="s">
        <v>798</v>
      </c>
      <c r="L740" s="419" t="s">
        <v>798</v>
      </c>
      <c r="M740" s="71" t="s">
        <v>795</v>
      </c>
      <c r="N740" s="71">
        <v>20.761529920000001</v>
      </c>
      <c r="O740" s="71">
        <v>92.544082639999999</v>
      </c>
      <c r="P740" s="71" t="s">
        <v>799</v>
      </c>
      <c r="Q740" s="71" t="s">
        <v>780</v>
      </c>
      <c r="R740" s="99"/>
      <c r="S740" s="423"/>
      <c r="T740" s="105"/>
      <c r="U740" s="101"/>
      <c r="V740" s="71" t="s">
        <v>587</v>
      </c>
      <c r="W740" s="419"/>
      <c r="X740" s="542"/>
      <c r="Y740" s="542"/>
      <c r="Z740" s="542"/>
    </row>
    <row r="741" spans="1:26" s="71" customFormat="1" ht="14.25" customHeight="1">
      <c r="A741" s="419" t="s">
        <v>2706</v>
      </c>
      <c r="B741" s="562" t="s">
        <v>323</v>
      </c>
      <c r="C741" s="561" t="s">
        <v>546</v>
      </c>
      <c r="D741" s="472" t="s">
        <v>1654</v>
      </c>
      <c r="E741" s="542">
        <v>198421</v>
      </c>
      <c r="F741" s="542"/>
      <c r="G741" s="542"/>
      <c r="H741" s="542"/>
      <c r="I741" s="542"/>
      <c r="J741" s="542" t="s">
        <v>798</v>
      </c>
      <c r="K741" s="542" t="s">
        <v>798</v>
      </c>
      <c r="L741" s="542" t="s">
        <v>798</v>
      </c>
      <c r="M741" s="542" t="s">
        <v>298</v>
      </c>
      <c r="N741" s="542">
        <v>20.688310619999999</v>
      </c>
      <c r="O741" s="542">
        <v>92.696960450000006</v>
      </c>
      <c r="P741" s="542" t="s">
        <v>799</v>
      </c>
      <c r="Q741" s="542" t="s">
        <v>780</v>
      </c>
      <c r="R741" s="548"/>
      <c r="S741" s="549"/>
      <c r="T741" s="568"/>
      <c r="U741" s="550"/>
      <c r="V741" s="542" t="s">
        <v>546</v>
      </c>
      <c r="W741" s="542"/>
      <c r="X741" s="542"/>
      <c r="Y741" s="542"/>
      <c r="Z741" s="542"/>
    </row>
    <row r="742" spans="1:26" s="71" customFormat="1" ht="14.25" customHeight="1">
      <c r="A742" s="542" t="s">
        <v>2706</v>
      </c>
      <c r="B742" s="562" t="s">
        <v>323</v>
      </c>
      <c r="C742" s="561" t="s">
        <v>2571</v>
      </c>
      <c r="D742" s="472" t="s">
        <v>1654</v>
      </c>
      <c r="E742" s="71">
        <v>198300</v>
      </c>
      <c r="F742" s="419" t="s">
        <v>2689</v>
      </c>
      <c r="J742" s="71" t="s">
        <v>798</v>
      </c>
      <c r="K742" s="419" t="s">
        <v>798</v>
      </c>
      <c r="L742" s="419" t="s">
        <v>798</v>
      </c>
      <c r="M742" s="71" t="s">
        <v>298</v>
      </c>
      <c r="N742" s="71">
        <v>20.887420649999999</v>
      </c>
      <c r="O742" s="71">
        <v>92.545410160000003</v>
      </c>
      <c r="P742" s="71" t="s">
        <v>799</v>
      </c>
      <c r="Q742" s="71" t="s">
        <v>780</v>
      </c>
      <c r="R742" s="548"/>
      <c r="S742" s="100"/>
      <c r="T742" s="105"/>
      <c r="U742" s="550"/>
      <c r="V742" s="71" t="s">
        <v>947</v>
      </c>
      <c r="W742" s="542"/>
      <c r="X742" s="542"/>
      <c r="Y742" s="542"/>
      <c r="Z742" s="542"/>
    </row>
    <row r="743" spans="1:26" s="71" customFormat="1" ht="14.25" customHeight="1">
      <c r="A743" s="419" t="s">
        <v>2706</v>
      </c>
      <c r="B743" s="515" t="s">
        <v>323</v>
      </c>
      <c r="C743" s="517" t="s">
        <v>2567</v>
      </c>
      <c r="D743" s="547"/>
      <c r="E743" s="202">
        <v>198434</v>
      </c>
      <c r="F743" s="202" t="s">
        <v>2687</v>
      </c>
      <c r="G743" s="202"/>
      <c r="H743" s="202"/>
      <c r="I743" s="202"/>
      <c r="J743" s="202" t="s">
        <v>798</v>
      </c>
      <c r="K743" s="202" t="s">
        <v>798</v>
      </c>
      <c r="L743" s="202" t="s">
        <v>798</v>
      </c>
      <c r="M743" s="202" t="s">
        <v>795</v>
      </c>
      <c r="N743" s="202"/>
      <c r="O743" s="202"/>
      <c r="P743" s="202"/>
      <c r="Q743" s="202" t="s">
        <v>2682</v>
      </c>
      <c r="R743" s="203"/>
      <c r="S743" s="201"/>
      <c r="T743" s="204"/>
      <c r="U743" s="205"/>
      <c r="V743" s="202"/>
      <c r="W743" s="548"/>
      <c r="X743" s="542"/>
      <c r="Y743" s="542"/>
      <c r="Z743" s="542"/>
    </row>
    <row r="744" spans="1:26" s="71" customFormat="1" ht="14.25" customHeight="1">
      <c r="A744" s="552" t="s">
        <v>2706</v>
      </c>
      <c r="B744" s="563" t="s">
        <v>323</v>
      </c>
      <c r="C744" s="452" t="s">
        <v>2568</v>
      </c>
      <c r="D744" s="547"/>
      <c r="E744" s="71">
        <v>198433</v>
      </c>
      <c r="F744" s="71" t="s">
        <v>2687</v>
      </c>
      <c r="J744" s="71" t="s">
        <v>798</v>
      </c>
      <c r="K744" s="419" t="s">
        <v>798</v>
      </c>
      <c r="L744" s="419" t="s">
        <v>798</v>
      </c>
      <c r="M744" s="71" t="s">
        <v>298</v>
      </c>
      <c r="O744" s="419"/>
      <c r="Q744" s="71" t="s">
        <v>2682</v>
      </c>
      <c r="R744" s="556"/>
      <c r="S744" s="423"/>
      <c r="T744" s="105"/>
      <c r="U744" s="556"/>
      <c r="W744" s="548"/>
      <c r="X744" s="542"/>
      <c r="Y744" s="542"/>
      <c r="Z744" s="542"/>
    </row>
    <row r="745" spans="1:26" s="71" customFormat="1" ht="14.25" customHeight="1">
      <c r="A745" s="419" t="s">
        <v>2706</v>
      </c>
      <c r="B745" s="437" t="s">
        <v>323</v>
      </c>
      <c r="C745" s="493" t="s">
        <v>2798</v>
      </c>
      <c r="D745" s="472"/>
      <c r="F745" s="482"/>
      <c r="J745" s="71" t="s">
        <v>2715</v>
      </c>
      <c r="K745" s="71" t="s">
        <v>2677</v>
      </c>
      <c r="L745" s="71" t="s">
        <v>2677</v>
      </c>
      <c r="R745" s="422"/>
      <c r="S745" s="100"/>
      <c r="T745" s="484">
        <v>43591</v>
      </c>
      <c r="U745" s="485"/>
      <c r="X745" s="542"/>
      <c r="Y745" s="542"/>
      <c r="Z745" s="542"/>
    </row>
    <row r="746" spans="1:26" s="542" customFormat="1" ht="14.25" customHeight="1">
      <c r="A746" s="542" t="s">
        <v>2706</v>
      </c>
      <c r="B746" s="562" t="s">
        <v>323</v>
      </c>
      <c r="C746" s="491" t="s">
        <v>2737</v>
      </c>
      <c r="D746" s="547" t="s">
        <v>1654</v>
      </c>
      <c r="E746" s="542">
        <v>198398</v>
      </c>
      <c r="F746" s="542" t="s">
        <v>2738</v>
      </c>
      <c r="J746" s="542" t="s">
        <v>879</v>
      </c>
      <c r="K746" s="542" t="s">
        <v>879</v>
      </c>
      <c r="L746" s="542" t="s">
        <v>879</v>
      </c>
      <c r="M746" s="542" t="s">
        <v>795</v>
      </c>
      <c r="N746" s="542">
        <v>20.741249079999999</v>
      </c>
      <c r="O746" s="542">
        <v>92.610519409999995</v>
      </c>
      <c r="P746" s="542" t="s">
        <v>799</v>
      </c>
      <c r="Q746" s="542" t="s">
        <v>780</v>
      </c>
      <c r="R746" s="556"/>
      <c r="S746" s="549"/>
      <c r="T746" s="568">
        <v>43580</v>
      </c>
      <c r="U746" s="595" t="s">
        <v>2736</v>
      </c>
      <c r="V746" s="542" t="s">
        <v>581</v>
      </c>
      <c r="W746" s="548"/>
    </row>
    <row r="747" spans="1:26" s="71" customFormat="1" ht="14.25" customHeight="1">
      <c r="A747" s="419" t="s">
        <v>2706</v>
      </c>
      <c r="B747" s="437" t="s">
        <v>323</v>
      </c>
      <c r="C747" s="436" t="s">
        <v>580</v>
      </c>
      <c r="D747" s="472" t="s">
        <v>1654</v>
      </c>
      <c r="E747" s="419">
        <v>198399</v>
      </c>
      <c r="F747" s="419"/>
      <c r="G747" s="419"/>
      <c r="H747" s="419"/>
      <c r="I747" s="419"/>
      <c r="J747" s="419" t="s">
        <v>798</v>
      </c>
      <c r="K747" s="419" t="s">
        <v>798</v>
      </c>
      <c r="L747" s="419" t="s">
        <v>798</v>
      </c>
      <c r="M747" s="419" t="s">
        <v>298</v>
      </c>
      <c r="N747" s="419">
        <v>20.739839549999999</v>
      </c>
      <c r="O747" s="419">
        <v>92.613456729999996</v>
      </c>
      <c r="P747" s="419" t="s">
        <v>799</v>
      </c>
      <c r="Q747" s="419" t="s">
        <v>780</v>
      </c>
      <c r="R747" s="422"/>
      <c r="S747" s="423"/>
      <c r="T747" s="442"/>
      <c r="U747" s="424"/>
      <c r="V747" s="419" t="s">
        <v>580</v>
      </c>
      <c r="W747" s="419"/>
      <c r="X747" s="542"/>
      <c r="Y747" s="542"/>
      <c r="Z747" s="542"/>
    </row>
    <row r="748" spans="1:26" s="71" customFormat="1" ht="14.25" customHeight="1">
      <c r="A748" s="419" t="s">
        <v>2706</v>
      </c>
      <c r="B748" s="566" t="s">
        <v>323</v>
      </c>
      <c r="C748" s="565" t="s">
        <v>529</v>
      </c>
      <c r="D748" s="472" t="s">
        <v>1654</v>
      </c>
      <c r="E748" s="71">
        <v>198448</v>
      </c>
      <c r="J748" s="71" t="s">
        <v>798</v>
      </c>
      <c r="K748" s="419" t="s">
        <v>798</v>
      </c>
      <c r="L748" s="419" t="s">
        <v>798</v>
      </c>
      <c r="M748" s="71" t="s">
        <v>298</v>
      </c>
      <c r="N748" s="71">
        <v>20.669130330000002</v>
      </c>
      <c r="O748" s="71">
        <v>92.595497129999998</v>
      </c>
      <c r="P748" s="71" t="s">
        <v>799</v>
      </c>
      <c r="Q748" s="419" t="s">
        <v>780</v>
      </c>
      <c r="R748" s="422"/>
      <c r="S748" s="423"/>
      <c r="T748" s="442"/>
      <c r="U748" s="101"/>
      <c r="V748" s="71" t="s">
        <v>529</v>
      </c>
      <c r="X748" s="542"/>
      <c r="Y748" s="542"/>
      <c r="Z748" s="542"/>
    </row>
    <row r="749" spans="1:26" s="71" customFormat="1" ht="14.25" customHeight="1">
      <c r="A749" s="419" t="s">
        <v>2706</v>
      </c>
      <c r="B749" s="566" t="s">
        <v>323</v>
      </c>
      <c r="C749" s="565" t="s">
        <v>534</v>
      </c>
      <c r="D749" s="472" t="s">
        <v>1654</v>
      </c>
      <c r="E749" s="71">
        <v>198447</v>
      </c>
      <c r="F749" s="419"/>
      <c r="J749" s="71" t="s">
        <v>798</v>
      </c>
      <c r="K749" s="419" t="s">
        <v>798</v>
      </c>
      <c r="L749" s="419" t="s">
        <v>798</v>
      </c>
      <c r="M749" s="71" t="s">
        <v>795</v>
      </c>
      <c r="N749" s="71">
        <v>20.674699780000001</v>
      </c>
      <c r="O749" s="71">
        <v>92.590393070000005</v>
      </c>
      <c r="P749" s="71" t="s">
        <v>799</v>
      </c>
      <c r="Q749" s="71" t="s">
        <v>780</v>
      </c>
      <c r="R749" s="422"/>
      <c r="S749" s="423"/>
      <c r="T749" s="105"/>
      <c r="U749" s="101"/>
      <c r="V749" s="71" t="s">
        <v>534</v>
      </c>
      <c r="X749" s="542"/>
      <c r="Y749" s="542"/>
      <c r="Z749" s="542"/>
    </row>
    <row r="750" spans="1:26" s="71" customFormat="1" ht="14.25" customHeight="1">
      <c r="A750" s="419" t="s">
        <v>2706</v>
      </c>
      <c r="B750" s="441" t="s">
        <v>323</v>
      </c>
      <c r="C750" s="440" t="s">
        <v>592</v>
      </c>
      <c r="D750" s="472" t="s">
        <v>1654</v>
      </c>
      <c r="E750" s="419">
        <v>198410</v>
      </c>
      <c r="J750" s="71" t="s">
        <v>798</v>
      </c>
      <c r="K750" s="71" t="s">
        <v>798</v>
      </c>
      <c r="L750" s="71" t="s">
        <v>798</v>
      </c>
      <c r="M750" s="71" t="s">
        <v>298</v>
      </c>
      <c r="N750" s="71">
        <v>20.772550580000001</v>
      </c>
      <c r="O750" s="71">
        <v>92.638290409999996</v>
      </c>
      <c r="P750" s="71" t="s">
        <v>799</v>
      </c>
      <c r="Q750" s="419" t="s">
        <v>780</v>
      </c>
      <c r="R750" s="422"/>
      <c r="S750" s="423"/>
      <c r="T750" s="442"/>
      <c r="U750" s="101"/>
      <c r="V750" s="71" t="s">
        <v>592</v>
      </c>
      <c r="W750" s="419"/>
      <c r="X750" s="542"/>
      <c r="Y750" s="542"/>
      <c r="Z750" s="542"/>
    </row>
    <row r="751" spans="1:26" s="71" customFormat="1" ht="14.25" customHeight="1">
      <c r="A751" s="419" t="s">
        <v>2706</v>
      </c>
      <c r="B751" s="441" t="s">
        <v>323</v>
      </c>
      <c r="C751" s="440" t="s">
        <v>354</v>
      </c>
      <c r="D751" s="472" t="s">
        <v>1654</v>
      </c>
      <c r="E751" s="419"/>
      <c r="J751" s="71" t="s">
        <v>798</v>
      </c>
      <c r="K751" s="542" t="s">
        <v>798</v>
      </c>
      <c r="L751" s="542" t="s">
        <v>798</v>
      </c>
      <c r="M751" s="71" t="s">
        <v>1149</v>
      </c>
      <c r="P751" s="71" t="s">
        <v>799</v>
      </c>
      <c r="Q751" s="71" t="s">
        <v>780</v>
      </c>
      <c r="R751" s="422"/>
      <c r="S751" s="423"/>
      <c r="T751" s="105"/>
      <c r="U751" s="101"/>
      <c r="V751" s="71" t="s">
        <v>354</v>
      </c>
      <c r="W751" s="419"/>
      <c r="X751" s="542"/>
      <c r="Y751" s="542"/>
      <c r="Z751" s="542"/>
    </row>
    <row r="752" spans="1:26" s="71" customFormat="1" ht="14.25" customHeight="1">
      <c r="A752" s="419" t="s">
        <v>2706</v>
      </c>
      <c r="B752" s="441" t="s">
        <v>323</v>
      </c>
      <c r="C752" s="440" t="s">
        <v>2592</v>
      </c>
      <c r="D752" s="472"/>
      <c r="J752" s="71" t="s">
        <v>2715</v>
      </c>
      <c r="K752" s="419" t="s">
        <v>2677</v>
      </c>
      <c r="L752" s="419" t="s">
        <v>2677</v>
      </c>
      <c r="R752" s="422"/>
      <c r="S752" s="423"/>
      <c r="T752" s="105"/>
      <c r="U752" s="101"/>
      <c r="X752" s="542"/>
      <c r="Y752" s="542"/>
      <c r="Z752" s="542"/>
    </row>
    <row r="753" spans="1:26" ht="14.25" customHeight="1">
      <c r="A753" s="419" t="s">
        <v>2706</v>
      </c>
      <c r="B753" s="441" t="s">
        <v>323</v>
      </c>
      <c r="C753" s="440" t="s">
        <v>2559</v>
      </c>
      <c r="D753" s="472"/>
      <c r="E753" s="419">
        <v>198370</v>
      </c>
      <c r="F753" s="419" t="s">
        <v>2683</v>
      </c>
      <c r="G753" s="419"/>
      <c r="H753" s="419"/>
      <c r="I753" s="419"/>
      <c r="J753" s="71" t="s">
        <v>798</v>
      </c>
      <c r="K753" s="562" t="s">
        <v>798</v>
      </c>
      <c r="L753" s="562" t="s">
        <v>798</v>
      </c>
      <c r="M753" s="71" t="s">
        <v>795</v>
      </c>
      <c r="N753" s="71"/>
      <c r="O753" s="71"/>
      <c r="P753" s="419"/>
      <c r="Q753" s="71" t="s">
        <v>2682</v>
      </c>
      <c r="R753" s="422"/>
      <c r="S753" s="423"/>
      <c r="T753" s="105"/>
      <c r="U753" s="101"/>
      <c r="V753" s="71"/>
      <c r="W753" s="419"/>
      <c r="X753" s="542"/>
      <c r="Y753" s="542"/>
      <c r="Z753" s="542"/>
    </row>
    <row r="754" spans="1:26" ht="14.25" customHeight="1">
      <c r="A754" s="419" t="s">
        <v>2706</v>
      </c>
      <c r="B754" s="546" t="s">
        <v>323</v>
      </c>
      <c r="C754" s="571" t="s">
        <v>574</v>
      </c>
      <c r="D754" s="472" t="s">
        <v>1654</v>
      </c>
      <c r="E754" s="71">
        <v>198430</v>
      </c>
      <c r="F754" s="71"/>
      <c r="G754" s="71"/>
      <c r="H754" s="71"/>
      <c r="I754" s="71"/>
      <c r="J754" s="71" t="s">
        <v>798</v>
      </c>
      <c r="K754" s="562" t="s">
        <v>798</v>
      </c>
      <c r="L754" s="562" t="s">
        <v>798</v>
      </c>
      <c r="M754" s="71" t="s">
        <v>795</v>
      </c>
      <c r="N754" s="71">
        <v>20.724700930000001</v>
      </c>
      <c r="O754" s="71">
        <v>92.628196720000005</v>
      </c>
      <c r="P754" s="71" t="s">
        <v>799</v>
      </c>
      <c r="Q754" s="71" t="s">
        <v>780</v>
      </c>
      <c r="R754" s="422"/>
      <c r="S754" s="423"/>
      <c r="T754" s="105"/>
      <c r="U754" s="101"/>
      <c r="V754" s="71" t="s">
        <v>574</v>
      </c>
      <c r="W754" s="71"/>
      <c r="X754" s="542"/>
      <c r="Y754" s="542"/>
      <c r="Z754" s="542"/>
    </row>
    <row r="755" spans="1:26" ht="14.25" customHeight="1">
      <c r="A755" s="542" t="s">
        <v>2706</v>
      </c>
      <c r="B755" s="562" t="s">
        <v>323</v>
      </c>
      <c r="C755" s="571" t="s">
        <v>643</v>
      </c>
      <c r="D755" s="472" t="s">
        <v>1654</v>
      </c>
      <c r="E755" s="542">
        <v>198291</v>
      </c>
      <c r="F755" s="542"/>
      <c r="G755" s="542"/>
      <c r="H755" s="542"/>
      <c r="I755" s="542"/>
      <c r="J755" s="71" t="s">
        <v>798</v>
      </c>
      <c r="K755" s="437" t="s">
        <v>798</v>
      </c>
      <c r="L755" s="437" t="s">
        <v>798</v>
      </c>
      <c r="M755" s="419" t="s">
        <v>795</v>
      </c>
      <c r="N755" s="542">
        <v>20.871829989999998</v>
      </c>
      <c r="O755" s="542">
        <v>92.566909789999997</v>
      </c>
      <c r="P755" s="71" t="s">
        <v>799</v>
      </c>
      <c r="Q755" s="542" t="s">
        <v>780</v>
      </c>
      <c r="R755" s="548"/>
      <c r="S755" s="549"/>
      <c r="T755" s="568"/>
      <c r="U755" s="550"/>
      <c r="V755" s="542" t="s">
        <v>643</v>
      </c>
      <c r="W755" s="542"/>
      <c r="X755" s="542"/>
      <c r="Y755" s="542"/>
      <c r="Z755" s="542"/>
    </row>
    <row r="756" spans="1:26" ht="14.25" customHeight="1">
      <c r="A756" s="549" t="s">
        <v>2706</v>
      </c>
      <c r="B756" s="552" t="s">
        <v>323</v>
      </c>
      <c r="C756" s="589" t="s">
        <v>942</v>
      </c>
      <c r="D756" s="421"/>
      <c r="E756" s="542"/>
      <c r="F756" s="542"/>
      <c r="G756" s="542"/>
      <c r="H756" s="542"/>
      <c r="I756" s="542"/>
      <c r="J756" s="71" t="s">
        <v>798</v>
      </c>
      <c r="K756" s="562" t="s">
        <v>798</v>
      </c>
      <c r="L756" s="562" t="s">
        <v>798</v>
      </c>
      <c r="M756" s="542"/>
      <c r="N756" s="542"/>
      <c r="O756" s="542"/>
      <c r="P756" s="542"/>
      <c r="Q756" s="542"/>
      <c r="R756" s="556"/>
      <c r="S756" s="549"/>
      <c r="T756" s="568"/>
      <c r="U756" s="556"/>
      <c r="V756" s="542"/>
      <c r="W756" s="422"/>
      <c r="X756" s="542"/>
      <c r="Y756" s="542"/>
      <c r="Z756" s="542"/>
    </row>
    <row r="757" spans="1:26" ht="14.25" customHeight="1">
      <c r="A757" s="549" t="s">
        <v>2706</v>
      </c>
      <c r="B757" s="552" t="s">
        <v>323</v>
      </c>
      <c r="C757" s="589" t="s">
        <v>2884</v>
      </c>
      <c r="D757" s="421"/>
      <c r="E757" s="419"/>
      <c r="F757" s="419"/>
      <c r="G757" s="419"/>
      <c r="H757" s="419"/>
      <c r="I757" s="419"/>
      <c r="J757" s="419" t="s">
        <v>798</v>
      </c>
      <c r="K757" s="566" t="s">
        <v>798</v>
      </c>
      <c r="L757" s="566" t="s">
        <v>798</v>
      </c>
      <c r="M757" s="419"/>
      <c r="N757" s="419"/>
      <c r="O757" s="419"/>
      <c r="P757" s="419"/>
      <c r="Q757" s="419"/>
      <c r="R757" s="430"/>
      <c r="S757" s="423"/>
      <c r="T757" s="442"/>
      <c r="U757" s="430"/>
      <c r="V757" s="419"/>
      <c r="W757" s="422"/>
      <c r="X757" s="542"/>
      <c r="Y757" s="542"/>
      <c r="Z757" s="542"/>
    </row>
    <row r="758" spans="1:26" ht="14.25" customHeight="1">
      <c r="A758" s="419" t="s">
        <v>2706</v>
      </c>
      <c r="B758" s="566" t="s">
        <v>323</v>
      </c>
      <c r="C758" s="444" t="s">
        <v>673</v>
      </c>
      <c r="D758" s="472" t="s">
        <v>1654</v>
      </c>
      <c r="E758" s="71">
        <v>198163</v>
      </c>
      <c r="F758" s="419"/>
      <c r="G758" s="71"/>
      <c r="H758" s="71"/>
      <c r="I758" s="71"/>
      <c r="J758" s="71" t="s">
        <v>804</v>
      </c>
      <c r="K758" s="546" t="s">
        <v>798</v>
      </c>
      <c r="L758" s="546" t="s">
        <v>804</v>
      </c>
      <c r="M758" s="71" t="s">
        <v>953</v>
      </c>
      <c r="N758" s="71">
        <v>20.99898911</v>
      </c>
      <c r="O758" s="71">
        <v>92.46325684</v>
      </c>
      <c r="P758" s="71" t="s">
        <v>923</v>
      </c>
      <c r="Q758" s="71" t="s">
        <v>802</v>
      </c>
      <c r="R758" s="422"/>
      <c r="S758" s="423"/>
      <c r="T758" s="105">
        <v>42926</v>
      </c>
      <c r="U758" s="101" t="s">
        <v>933</v>
      </c>
      <c r="V758" s="71"/>
      <c r="W758" s="419"/>
      <c r="X758" s="542"/>
      <c r="Y758" s="542"/>
      <c r="Z758" s="542"/>
    </row>
    <row r="759" spans="1:26" ht="14.25" customHeight="1">
      <c r="A759" s="480" t="s">
        <v>2706</v>
      </c>
      <c r="B759" s="481" t="s">
        <v>323</v>
      </c>
      <c r="C759" s="565" t="s">
        <v>1907</v>
      </c>
      <c r="D759" s="547"/>
      <c r="E759" s="482">
        <v>198348</v>
      </c>
      <c r="F759" s="482" t="s">
        <v>2083</v>
      </c>
      <c r="G759" s="482"/>
      <c r="H759" s="482"/>
      <c r="I759" s="482"/>
      <c r="J759" s="71" t="s">
        <v>879</v>
      </c>
      <c r="K759" s="546" t="s">
        <v>879</v>
      </c>
      <c r="L759" s="546" t="s">
        <v>879</v>
      </c>
      <c r="M759" s="71" t="s">
        <v>298</v>
      </c>
      <c r="N759" s="482">
        <v>20.847490310668899</v>
      </c>
      <c r="O759" s="482">
        <v>92.556472778320298</v>
      </c>
      <c r="P759" s="71" t="s">
        <v>799</v>
      </c>
      <c r="Q759" s="482" t="s">
        <v>2682</v>
      </c>
      <c r="R759" s="483"/>
      <c r="S759" s="480"/>
      <c r="T759" s="484">
        <v>43580</v>
      </c>
      <c r="U759" s="485" t="s">
        <v>2736</v>
      </c>
      <c r="V759" s="486"/>
      <c r="W759" s="548"/>
      <c r="X759" s="542"/>
      <c r="Y759" s="542"/>
      <c r="Z759" s="542"/>
    </row>
    <row r="760" spans="1:26" ht="14.25" customHeight="1">
      <c r="A760" s="480" t="s">
        <v>2706</v>
      </c>
      <c r="B760" s="488" t="s">
        <v>323</v>
      </c>
      <c r="C760" s="516" t="s">
        <v>2740</v>
      </c>
      <c r="D760" s="547"/>
      <c r="E760" s="482">
        <v>198326</v>
      </c>
      <c r="F760" s="482" t="s">
        <v>2741</v>
      </c>
      <c r="G760" s="482"/>
      <c r="H760" s="482"/>
      <c r="I760" s="482"/>
      <c r="J760" s="71" t="s">
        <v>798</v>
      </c>
      <c r="K760" s="546" t="s">
        <v>798</v>
      </c>
      <c r="L760" s="546" t="s">
        <v>798</v>
      </c>
      <c r="M760" s="482"/>
      <c r="N760" s="482">
        <v>20.8608493804932</v>
      </c>
      <c r="O760" s="482">
        <v>92.539390563964801</v>
      </c>
      <c r="P760" s="482"/>
      <c r="Q760" s="482" t="s">
        <v>2682</v>
      </c>
      <c r="R760" s="483"/>
      <c r="S760" s="480"/>
      <c r="T760" s="484">
        <v>43580</v>
      </c>
      <c r="U760" s="485" t="s">
        <v>2736</v>
      </c>
      <c r="V760" s="486"/>
      <c r="W760" s="548"/>
      <c r="X760" s="542"/>
      <c r="Y760" s="542"/>
      <c r="Z760" s="542"/>
    </row>
    <row r="761" spans="1:26" ht="14.25" customHeight="1">
      <c r="A761" s="552" t="s">
        <v>2706</v>
      </c>
      <c r="B761" s="552" t="s">
        <v>323</v>
      </c>
      <c r="C761" s="578" t="s">
        <v>2799</v>
      </c>
      <c r="D761" s="547"/>
      <c r="E761" s="71">
        <v>198326</v>
      </c>
      <c r="F761" s="419"/>
      <c r="G761" s="71"/>
      <c r="H761" s="71"/>
      <c r="I761" s="71"/>
      <c r="J761" s="71" t="s">
        <v>2715</v>
      </c>
      <c r="K761" s="546" t="s">
        <v>2677</v>
      </c>
      <c r="L761" s="546" t="s">
        <v>2677</v>
      </c>
      <c r="M761" s="71"/>
      <c r="N761" s="71">
        <v>20.8608493804932</v>
      </c>
      <c r="O761" s="71">
        <v>92.539390563964801</v>
      </c>
      <c r="P761" s="71"/>
      <c r="Q761" s="419"/>
      <c r="R761" s="556"/>
      <c r="S761" s="423"/>
      <c r="T761" s="442">
        <v>43591</v>
      </c>
      <c r="U761" s="556"/>
      <c r="V761" s="71"/>
      <c r="W761" s="548"/>
      <c r="X761" s="542"/>
      <c r="Y761" s="542"/>
      <c r="Z761" s="542"/>
    </row>
    <row r="762" spans="1:26" ht="14.25" customHeight="1">
      <c r="A762" s="549" t="s">
        <v>2706</v>
      </c>
      <c r="B762" s="446" t="s">
        <v>323</v>
      </c>
      <c r="C762" s="578" t="s">
        <v>2890</v>
      </c>
      <c r="D762" s="421"/>
      <c r="E762" s="71">
        <v>198424</v>
      </c>
      <c r="F762" s="419"/>
      <c r="G762" s="71"/>
      <c r="H762" s="71"/>
      <c r="I762" s="71"/>
      <c r="J762" s="71" t="s">
        <v>798</v>
      </c>
      <c r="K762" s="419" t="s">
        <v>798</v>
      </c>
      <c r="L762" s="419" t="s">
        <v>798</v>
      </c>
      <c r="M762" s="71"/>
      <c r="N762" s="71">
        <v>20.735639572143601</v>
      </c>
      <c r="O762" s="562">
        <v>92.638076782226605</v>
      </c>
      <c r="P762" s="71"/>
      <c r="Q762" s="71"/>
      <c r="R762" s="430"/>
      <c r="S762" s="423"/>
      <c r="T762" s="105"/>
      <c r="U762" s="556"/>
      <c r="V762" s="71"/>
      <c r="W762" s="548"/>
      <c r="X762" s="542"/>
      <c r="Y762" s="542"/>
      <c r="Z762" s="542"/>
    </row>
    <row r="763" spans="1:26" ht="14.25" customHeight="1">
      <c r="A763" s="419" t="s">
        <v>2706</v>
      </c>
      <c r="B763" s="441" t="s">
        <v>323</v>
      </c>
      <c r="C763" s="565" t="s">
        <v>671</v>
      </c>
      <c r="D763" s="472" t="s">
        <v>1654</v>
      </c>
      <c r="E763" s="71">
        <v>198184</v>
      </c>
      <c r="F763" s="551"/>
      <c r="G763" s="71"/>
      <c r="H763" s="71"/>
      <c r="I763" s="71"/>
      <c r="J763" s="71" t="s">
        <v>798</v>
      </c>
      <c r="K763" s="419" t="s">
        <v>798</v>
      </c>
      <c r="L763" s="419" t="s">
        <v>798</v>
      </c>
      <c r="M763" s="71" t="s">
        <v>795</v>
      </c>
      <c r="N763" s="419">
        <v>20.99110031</v>
      </c>
      <c r="O763" s="419">
        <v>92.493858340000003</v>
      </c>
      <c r="P763" s="419" t="s">
        <v>799</v>
      </c>
      <c r="Q763" s="71" t="s">
        <v>780</v>
      </c>
      <c r="R763" s="422"/>
      <c r="S763" s="423"/>
      <c r="T763" s="105"/>
      <c r="U763" s="101"/>
      <c r="V763" s="71" t="s">
        <v>671</v>
      </c>
      <c r="W763" s="419"/>
      <c r="X763" s="542"/>
      <c r="Y763" s="542"/>
      <c r="Z763" s="542"/>
    </row>
    <row r="764" spans="1:26" ht="14.25" customHeight="1">
      <c r="A764" s="419" t="s">
        <v>2706</v>
      </c>
      <c r="B764" s="441" t="s">
        <v>323</v>
      </c>
      <c r="C764" s="440" t="s">
        <v>579</v>
      </c>
      <c r="D764" s="472" t="s">
        <v>1654</v>
      </c>
      <c r="E764" s="542">
        <v>198425</v>
      </c>
      <c r="F764" s="551"/>
      <c r="G764" s="419"/>
      <c r="H764" s="419"/>
      <c r="I764" s="419"/>
      <c r="J764" s="71" t="s">
        <v>798</v>
      </c>
      <c r="K764" s="419" t="s">
        <v>798</v>
      </c>
      <c r="L764" s="419" t="s">
        <v>798</v>
      </c>
      <c r="M764" s="71" t="s">
        <v>795</v>
      </c>
      <c r="N764" s="71">
        <v>20.737430570000001</v>
      </c>
      <c r="O764" s="71">
        <v>92.634773249999995</v>
      </c>
      <c r="P764" s="71" t="s">
        <v>799</v>
      </c>
      <c r="Q764" s="71" t="s">
        <v>780</v>
      </c>
      <c r="R764" s="422"/>
      <c r="S764" s="423"/>
      <c r="T764" s="105"/>
      <c r="U764" s="101"/>
      <c r="V764" s="71" t="s">
        <v>579</v>
      </c>
      <c r="W764" s="71"/>
      <c r="X764" s="542"/>
      <c r="Y764" s="542"/>
      <c r="Z764" s="542"/>
    </row>
    <row r="765" spans="1:26" ht="14.25" customHeight="1">
      <c r="A765" s="419" t="s">
        <v>2706</v>
      </c>
      <c r="B765" s="566" t="s">
        <v>323</v>
      </c>
      <c r="C765" s="565" t="s">
        <v>523</v>
      </c>
      <c r="D765" s="472" t="s">
        <v>1654</v>
      </c>
      <c r="E765" s="71">
        <v>198450</v>
      </c>
      <c r="F765" s="71"/>
      <c r="G765" s="71"/>
      <c r="H765" s="71"/>
      <c r="I765" s="71"/>
      <c r="J765" s="71" t="s">
        <v>798</v>
      </c>
      <c r="K765" s="419" t="s">
        <v>798</v>
      </c>
      <c r="L765" s="419" t="s">
        <v>798</v>
      </c>
      <c r="M765" s="71" t="s">
        <v>795</v>
      </c>
      <c r="N765" s="419">
        <v>20.654249190000002</v>
      </c>
      <c r="O765" s="419">
        <v>92.619102479999995</v>
      </c>
      <c r="P765" s="71" t="s">
        <v>799</v>
      </c>
      <c r="Q765" s="71" t="s">
        <v>780</v>
      </c>
      <c r="R765" s="422"/>
      <c r="S765" s="423"/>
      <c r="T765" s="105"/>
      <c r="U765" s="101"/>
      <c r="V765" s="71" t="s">
        <v>921</v>
      </c>
      <c r="W765" s="71"/>
      <c r="X765" s="542"/>
      <c r="Y765" s="542"/>
      <c r="Z765" s="542"/>
    </row>
    <row r="766" spans="1:26" ht="14.25" customHeight="1">
      <c r="A766" s="542" t="s">
        <v>2706</v>
      </c>
      <c r="B766" s="566" t="s">
        <v>309</v>
      </c>
      <c r="C766" s="565" t="s">
        <v>2054</v>
      </c>
      <c r="D766" s="472"/>
      <c r="E766" s="542">
        <v>197857</v>
      </c>
      <c r="F766" s="542"/>
      <c r="G766" s="542"/>
      <c r="H766" s="542"/>
      <c r="I766" s="542"/>
      <c r="J766" s="542" t="s">
        <v>798</v>
      </c>
      <c r="K766" s="542" t="s">
        <v>798</v>
      </c>
      <c r="L766" s="542" t="s">
        <v>798</v>
      </c>
      <c r="M766" s="542" t="s">
        <v>683</v>
      </c>
      <c r="N766" s="542">
        <v>21.08677673</v>
      </c>
      <c r="O766" s="542">
        <v>92.337112430000005</v>
      </c>
      <c r="P766" s="542"/>
      <c r="Q766" s="542"/>
      <c r="R766" s="548"/>
      <c r="S766" s="549"/>
      <c r="T766" s="568">
        <v>43300</v>
      </c>
      <c r="U766" s="550"/>
      <c r="V766" s="542"/>
      <c r="W766" s="542"/>
      <c r="X766" s="542"/>
      <c r="Y766" s="542"/>
      <c r="Z766" s="542"/>
    </row>
    <row r="767" spans="1:26" ht="14.25" customHeight="1">
      <c r="A767" s="419" t="s">
        <v>2706</v>
      </c>
      <c r="B767" s="577" t="s">
        <v>309</v>
      </c>
      <c r="C767" s="491" t="s">
        <v>2763</v>
      </c>
      <c r="D767" s="547"/>
      <c r="E767" s="71">
        <v>197857</v>
      </c>
      <c r="F767" s="419"/>
      <c r="G767" s="71"/>
      <c r="H767" s="71"/>
      <c r="I767" s="71"/>
      <c r="J767" s="71" t="s">
        <v>798</v>
      </c>
      <c r="K767" s="419" t="s">
        <v>798</v>
      </c>
      <c r="L767" s="419" t="s">
        <v>798</v>
      </c>
      <c r="M767" s="71" t="s">
        <v>2091</v>
      </c>
      <c r="N767" s="71">
        <v>21.08677673</v>
      </c>
      <c r="O767" s="546">
        <v>92.337112430000005</v>
      </c>
      <c r="P767" s="71"/>
      <c r="Q767" s="71"/>
      <c r="R767" s="556"/>
      <c r="S767" s="100"/>
      <c r="T767" s="105">
        <v>43300</v>
      </c>
      <c r="U767" s="101"/>
      <c r="V767" s="71"/>
      <c r="W767" s="419"/>
      <c r="X767" s="542"/>
      <c r="Y767" s="542"/>
      <c r="Z767" s="542"/>
    </row>
    <row r="768" spans="1:26" ht="14.25" customHeight="1">
      <c r="A768" s="419" t="s">
        <v>2706</v>
      </c>
      <c r="B768" s="566" t="s">
        <v>309</v>
      </c>
      <c r="C768" s="565" t="s">
        <v>2762</v>
      </c>
      <c r="D768" s="472"/>
      <c r="E768" s="71">
        <v>197857</v>
      </c>
      <c r="F768" s="546"/>
      <c r="G768" s="71"/>
      <c r="H768" s="71"/>
      <c r="I768" s="71"/>
      <c r="J768" s="71" t="s">
        <v>798</v>
      </c>
      <c r="K768" s="419" t="s">
        <v>798</v>
      </c>
      <c r="L768" s="419" t="s">
        <v>798</v>
      </c>
      <c r="M768" s="71" t="s">
        <v>298</v>
      </c>
      <c r="N768" s="419">
        <v>21.08677673</v>
      </c>
      <c r="O768" s="419">
        <v>92.337112430000005</v>
      </c>
      <c r="P768" s="71"/>
      <c r="Q768" s="71"/>
      <c r="R768" s="548"/>
      <c r="S768" s="423"/>
      <c r="T768" s="105">
        <v>43300</v>
      </c>
      <c r="U768" s="101"/>
      <c r="V768" s="71"/>
      <c r="W768" s="419"/>
      <c r="X768" s="542"/>
      <c r="Y768" s="542"/>
      <c r="Z768" s="542"/>
    </row>
    <row r="769" spans="1:26" ht="14.25" customHeight="1">
      <c r="A769" s="542" t="s">
        <v>2706</v>
      </c>
      <c r="B769" s="566" t="s">
        <v>309</v>
      </c>
      <c r="C769" s="565" t="s">
        <v>2084</v>
      </c>
      <c r="D769" s="472"/>
      <c r="E769" s="546">
        <v>197920</v>
      </c>
      <c r="F769" s="546"/>
      <c r="G769" s="542"/>
      <c r="H769" s="542"/>
      <c r="I769" s="542"/>
      <c r="J769" s="542" t="s">
        <v>798</v>
      </c>
      <c r="K769" s="542" t="s">
        <v>798</v>
      </c>
      <c r="L769" s="542" t="s">
        <v>798</v>
      </c>
      <c r="M769" s="71" t="s">
        <v>795</v>
      </c>
      <c r="N769" s="71">
        <v>20.92394066</v>
      </c>
      <c r="O769" s="71">
        <v>92.322669980000001</v>
      </c>
      <c r="P769" s="71"/>
      <c r="Q769" s="542"/>
      <c r="R769" s="548"/>
      <c r="S769" s="549"/>
      <c r="T769" s="568">
        <v>43300</v>
      </c>
      <c r="U769" s="550"/>
      <c r="V769" s="419"/>
      <c r="W769" s="542"/>
      <c r="X769" s="542"/>
      <c r="Y769" s="542"/>
      <c r="Z769" s="542"/>
    </row>
    <row r="770" spans="1:26" ht="14.25" customHeight="1">
      <c r="A770" s="419" t="s">
        <v>2706</v>
      </c>
      <c r="B770" s="566" t="s">
        <v>309</v>
      </c>
      <c r="C770" s="565" t="s">
        <v>2055</v>
      </c>
      <c r="D770" s="472"/>
      <c r="E770" s="71">
        <v>197968</v>
      </c>
      <c r="F770" s="419"/>
      <c r="G770" s="71"/>
      <c r="H770" s="71"/>
      <c r="I770" s="71"/>
      <c r="J770" s="71" t="s">
        <v>798</v>
      </c>
      <c r="K770" s="419" t="s">
        <v>798</v>
      </c>
      <c r="L770" s="419" t="s">
        <v>798</v>
      </c>
      <c r="M770" s="71" t="s">
        <v>795</v>
      </c>
      <c r="N770" s="71">
        <v>20.878229139999998</v>
      </c>
      <c r="O770" s="71">
        <v>92.347267149999993</v>
      </c>
      <c r="P770" s="71"/>
      <c r="Q770" s="71"/>
      <c r="R770" s="548"/>
      <c r="S770" s="549"/>
      <c r="T770" s="105">
        <v>43300</v>
      </c>
      <c r="U770" s="101"/>
      <c r="V770" s="419"/>
      <c r="W770" s="419"/>
      <c r="X770" s="542"/>
      <c r="Y770" s="542"/>
      <c r="Z770" s="542"/>
    </row>
    <row r="771" spans="1:26" ht="14.25" customHeight="1">
      <c r="A771" s="480" t="s">
        <v>2706</v>
      </c>
      <c r="B771" s="488" t="s">
        <v>309</v>
      </c>
      <c r="C771" s="490" t="s">
        <v>2748</v>
      </c>
      <c r="D771" s="547"/>
      <c r="E771" s="482"/>
      <c r="F771" s="482"/>
      <c r="G771" s="482"/>
      <c r="H771" s="482"/>
      <c r="I771" s="482"/>
      <c r="J771" s="482" t="s">
        <v>2715</v>
      </c>
      <c r="K771" s="482" t="s">
        <v>2677</v>
      </c>
      <c r="L771" s="482" t="s">
        <v>2677</v>
      </c>
      <c r="M771" s="482"/>
      <c r="N771" s="482"/>
      <c r="O771" s="482"/>
      <c r="P771" s="482"/>
      <c r="Q771" s="482" t="s">
        <v>2682</v>
      </c>
      <c r="R771" s="483"/>
      <c r="S771" s="480"/>
      <c r="T771" s="484">
        <v>43580</v>
      </c>
      <c r="U771" s="485" t="s">
        <v>2736</v>
      </c>
      <c r="V771" s="486"/>
      <c r="W771" s="548"/>
      <c r="X771" s="542"/>
      <c r="Y771" s="542"/>
      <c r="Z771" s="542"/>
    </row>
    <row r="772" spans="1:26" ht="14.25" customHeight="1">
      <c r="A772" s="419" t="s">
        <v>2706</v>
      </c>
      <c r="B772" s="566" t="s">
        <v>309</v>
      </c>
      <c r="C772" s="565" t="s">
        <v>612</v>
      </c>
      <c r="D772" s="472" t="s">
        <v>1654</v>
      </c>
      <c r="E772" s="71">
        <v>197997</v>
      </c>
      <c r="F772" s="71"/>
      <c r="G772" s="71"/>
      <c r="H772" s="71"/>
      <c r="I772" s="71"/>
      <c r="J772" s="71" t="s">
        <v>798</v>
      </c>
      <c r="K772" s="419" t="s">
        <v>798</v>
      </c>
      <c r="L772" s="419" t="s">
        <v>798</v>
      </c>
      <c r="M772" s="71" t="s">
        <v>795</v>
      </c>
      <c r="N772" s="71">
        <v>20.803909300000001</v>
      </c>
      <c r="O772" s="419">
        <v>92.376831050000007</v>
      </c>
      <c r="P772" s="71" t="s">
        <v>799</v>
      </c>
      <c r="Q772" s="542" t="s">
        <v>780</v>
      </c>
      <c r="R772" s="548"/>
      <c r="S772" s="549"/>
      <c r="T772" s="568"/>
      <c r="U772" s="101"/>
      <c r="V772" s="71" t="s">
        <v>936</v>
      </c>
      <c r="W772" s="419"/>
      <c r="X772" s="542"/>
      <c r="Y772" s="542"/>
      <c r="Z772" s="542"/>
    </row>
    <row r="773" spans="1:26" ht="14.25" customHeight="1">
      <c r="A773" s="419" t="s">
        <v>2706</v>
      </c>
      <c r="B773" s="446" t="s">
        <v>309</v>
      </c>
      <c r="C773" s="447" t="s">
        <v>692</v>
      </c>
      <c r="D773" s="421" t="s">
        <v>1654</v>
      </c>
      <c r="E773" s="71">
        <v>197820</v>
      </c>
      <c r="F773" s="71"/>
      <c r="G773" s="71"/>
      <c r="H773" s="71"/>
      <c r="I773" s="71"/>
      <c r="J773" s="71" t="s">
        <v>798</v>
      </c>
      <c r="K773" s="419" t="s">
        <v>798</v>
      </c>
      <c r="L773" s="419" t="s">
        <v>798</v>
      </c>
      <c r="M773" s="71" t="s">
        <v>795</v>
      </c>
      <c r="N773" s="71">
        <v>21.26553917</v>
      </c>
      <c r="O773" s="419">
        <v>92.27140808</v>
      </c>
      <c r="P773" s="71" t="s">
        <v>799</v>
      </c>
      <c r="Q773" s="419" t="s">
        <v>780</v>
      </c>
      <c r="R773" s="556"/>
      <c r="S773" s="549"/>
      <c r="T773" s="442"/>
      <c r="U773" s="101"/>
      <c r="V773" s="419" t="s">
        <v>960</v>
      </c>
      <c r="W773" s="419"/>
      <c r="X773" s="542"/>
      <c r="Y773" s="542"/>
      <c r="Z773" s="542"/>
    </row>
    <row r="774" spans="1:26" ht="14.25" customHeight="1">
      <c r="A774" s="480" t="s">
        <v>2706</v>
      </c>
      <c r="B774" s="481" t="s">
        <v>309</v>
      </c>
      <c r="C774" s="490" t="s">
        <v>961</v>
      </c>
      <c r="D774" s="421" t="s">
        <v>1654</v>
      </c>
      <c r="E774" s="482">
        <v>197817</v>
      </c>
      <c r="F774" s="494" t="s">
        <v>2746</v>
      </c>
      <c r="G774" s="482"/>
      <c r="H774" s="482"/>
      <c r="I774" s="482"/>
      <c r="J774" s="482" t="s">
        <v>2715</v>
      </c>
      <c r="K774" s="482" t="s">
        <v>2677</v>
      </c>
      <c r="L774" s="482" t="s">
        <v>2677</v>
      </c>
      <c r="M774" s="71" t="s">
        <v>795</v>
      </c>
      <c r="N774" s="71">
        <v>21.2688694</v>
      </c>
      <c r="O774" s="419">
        <v>92.274917599999995</v>
      </c>
      <c r="P774" s="71" t="s">
        <v>799</v>
      </c>
      <c r="Q774" s="482" t="s">
        <v>2682</v>
      </c>
      <c r="R774" s="495"/>
      <c r="S774" s="492"/>
      <c r="T774" s="484">
        <v>43580</v>
      </c>
      <c r="U774" s="485" t="s">
        <v>2736</v>
      </c>
      <c r="V774" s="71" t="s">
        <v>960</v>
      </c>
      <c r="W774" s="548"/>
      <c r="X774" s="542"/>
      <c r="Y774" s="542"/>
      <c r="Z774" s="542"/>
    </row>
    <row r="775" spans="1:26" ht="14.25" customHeight="1">
      <c r="A775" s="419" t="s">
        <v>2706</v>
      </c>
      <c r="B775" s="446" t="s">
        <v>309</v>
      </c>
      <c r="C775" s="447" t="s">
        <v>310</v>
      </c>
      <c r="D775" s="421" t="s">
        <v>1654</v>
      </c>
      <c r="E775" s="71"/>
      <c r="F775" s="419"/>
      <c r="G775" s="71"/>
      <c r="H775" s="71"/>
      <c r="I775" s="71"/>
      <c r="J775" s="71" t="s">
        <v>798</v>
      </c>
      <c r="K775" s="71" t="s">
        <v>798</v>
      </c>
      <c r="L775" s="71" t="s">
        <v>798</v>
      </c>
      <c r="M775" s="71" t="s">
        <v>795</v>
      </c>
      <c r="N775" s="71"/>
      <c r="O775" s="419"/>
      <c r="P775" s="71" t="s">
        <v>799</v>
      </c>
      <c r="Q775" s="71" t="s">
        <v>780</v>
      </c>
      <c r="R775" s="431"/>
      <c r="S775" s="427"/>
      <c r="T775" s="105"/>
      <c r="U775" s="101"/>
      <c r="V775" s="71" t="s">
        <v>310</v>
      </c>
      <c r="W775" s="419"/>
      <c r="X775" s="542"/>
      <c r="Y775" s="542"/>
      <c r="Z775" s="542"/>
    </row>
    <row r="776" spans="1:26" ht="14.25" customHeight="1">
      <c r="A776" s="419" t="s">
        <v>2706</v>
      </c>
      <c r="B776" s="566" t="s">
        <v>309</v>
      </c>
      <c r="C776" s="565" t="s">
        <v>2575</v>
      </c>
      <c r="D776" s="472"/>
      <c r="E776" s="71">
        <v>197968</v>
      </c>
      <c r="F776" s="546" t="s">
        <v>2577</v>
      </c>
      <c r="G776" s="71"/>
      <c r="H776" s="71"/>
      <c r="I776" s="71"/>
      <c r="J776" s="71" t="s">
        <v>798</v>
      </c>
      <c r="K776" s="71" t="s">
        <v>798</v>
      </c>
      <c r="L776" s="71" t="s">
        <v>798</v>
      </c>
      <c r="M776" s="71" t="s">
        <v>795</v>
      </c>
      <c r="N776" s="71"/>
      <c r="O776" s="419"/>
      <c r="P776" s="71"/>
      <c r="Q776" s="71"/>
      <c r="R776" s="552"/>
      <c r="S776" s="427"/>
      <c r="T776" s="105"/>
      <c r="U776" s="101"/>
      <c r="V776" s="71"/>
      <c r="W776" s="419"/>
      <c r="X776" s="542"/>
      <c r="Y776" s="542"/>
      <c r="Z776" s="542"/>
    </row>
    <row r="777" spans="1:26" ht="14.25" customHeight="1">
      <c r="A777" s="542" t="s">
        <v>2706</v>
      </c>
      <c r="B777" s="577" t="s">
        <v>309</v>
      </c>
      <c r="C777" s="565" t="s">
        <v>609</v>
      </c>
      <c r="D777" s="421" t="s">
        <v>1654</v>
      </c>
      <c r="E777" s="542">
        <v>197995</v>
      </c>
      <c r="F777" s="542"/>
      <c r="G777" s="542"/>
      <c r="H777" s="542"/>
      <c r="I777" s="542"/>
      <c r="J777" s="71" t="s">
        <v>798</v>
      </c>
      <c r="K777" s="71" t="s">
        <v>798</v>
      </c>
      <c r="L777" s="71" t="s">
        <v>798</v>
      </c>
      <c r="M777" s="542" t="s">
        <v>795</v>
      </c>
      <c r="N777" s="542">
        <v>20.802850719999999</v>
      </c>
      <c r="O777" s="542">
        <v>92.392669679999997</v>
      </c>
      <c r="P777" s="542" t="s">
        <v>799</v>
      </c>
      <c r="Q777" s="546" t="s">
        <v>780</v>
      </c>
      <c r="R777" s="557"/>
      <c r="S777" s="553"/>
      <c r="T777" s="569"/>
      <c r="U777" s="550"/>
      <c r="V777" s="542" t="s">
        <v>935</v>
      </c>
      <c r="W777" s="542"/>
      <c r="X777" s="542"/>
      <c r="Y777" s="542"/>
      <c r="Z777" s="542"/>
    </row>
    <row r="778" spans="1:26" ht="14.25" customHeight="1">
      <c r="A778" s="419" t="s">
        <v>2706</v>
      </c>
      <c r="B778" s="577" t="s">
        <v>309</v>
      </c>
      <c r="C778" s="578" t="s">
        <v>610</v>
      </c>
      <c r="D778" s="547" t="s">
        <v>1654</v>
      </c>
      <c r="E778" s="71">
        <v>197995</v>
      </c>
      <c r="F778" s="419"/>
      <c r="G778" s="71"/>
      <c r="H778" s="71"/>
      <c r="I778" s="71"/>
      <c r="J778" s="71" t="s">
        <v>798</v>
      </c>
      <c r="K778" s="71" t="s">
        <v>798</v>
      </c>
      <c r="L778" s="71" t="s">
        <v>798</v>
      </c>
      <c r="M778" s="71" t="s">
        <v>795</v>
      </c>
      <c r="N778" s="71">
        <v>20.802850719999999</v>
      </c>
      <c r="O778" s="419">
        <v>92.392669679999997</v>
      </c>
      <c r="P778" s="71" t="s">
        <v>799</v>
      </c>
      <c r="Q778" s="71" t="s">
        <v>780</v>
      </c>
      <c r="R778" s="557"/>
      <c r="S778" s="427"/>
      <c r="T778" s="105"/>
      <c r="U778" s="101"/>
      <c r="V778" s="71" t="s">
        <v>935</v>
      </c>
      <c r="W778" s="419"/>
      <c r="X778" s="542"/>
      <c r="Y778" s="542"/>
      <c r="Z778" s="542"/>
    </row>
    <row r="779" spans="1:26" ht="14.25" customHeight="1">
      <c r="A779" s="419" t="s">
        <v>2706</v>
      </c>
      <c r="B779" s="446" t="s">
        <v>309</v>
      </c>
      <c r="C779" s="447" t="s">
        <v>2045</v>
      </c>
      <c r="D779" s="421"/>
      <c r="E779" s="71">
        <v>197939</v>
      </c>
      <c r="F779" s="419"/>
      <c r="G779" s="71"/>
      <c r="H779" s="71"/>
      <c r="I779" s="71"/>
      <c r="J779" s="71" t="s">
        <v>798</v>
      </c>
      <c r="K779" s="71" t="s">
        <v>798</v>
      </c>
      <c r="L779" s="71" t="s">
        <v>798</v>
      </c>
      <c r="M779" s="71" t="s">
        <v>298</v>
      </c>
      <c r="N779" s="71">
        <v>20.832990649999999</v>
      </c>
      <c r="O779" s="71">
        <v>92.353683469999993</v>
      </c>
      <c r="P779" s="71" t="s">
        <v>799</v>
      </c>
      <c r="Q779" s="71"/>
      <c r="R779" s="431"/>
      <c r="S779" s="427"/>
      <c r="T779" s="105">
        <v>43300</v>
      </c>
      <c r="U779" s="101"/>
      <c r="V779" s="71"/>
      <c r="W779" s="419"/>
      <c r="X779" s="542"/>
      <c r="Y779" s="542"/>
      <c r="Z779" s="542"/>
    </row>
    <row r="780" spans="1:26" ht="14.25" customHeight="1">
      <c r="A780" s="419" t="s">
        <v>2706</v>
      </c>
      <c r="B780" s="577" t="s">
        <v>309</v>
      </c>
      <c r="C780" s="578" t="s">
        <v>2100</v>
      </c>
      <c r="D780" s="547"/>
      <c r="E780" s="71">
        <v>220733</v>
      </c>
      <c r="F780" s="419"/>
      <c r="G780" s="71"/>
      <c r="H780" s="71"/>
      <c r="I780" s="71"/>
      <c r="J780" s="71" t="s">
        <v>798</v>
      </c>
      <c r="K780" s="71" t="s">
        <v>798</v>
      </c>
      <c r="L780" s="71" t="s">
        <v>798</v>
      </c>
      <c r="M780" s="71" t="s">
        <v>298</v>
      </c>
      <c r="N780" s="71">
        <v>20.931335449999999</v>
      </c>
      <c r="O780" s="71">
        <v>92.381462099999993</v>
      </c>
      <c r="P780" s="71"/>
      <c r="Q780" s="71"/>
      <c r="R780" s="557"/>
      <c r="S780" s="553"/>
      <c r="T780" s="105">
        <v>43300</v>
      </c>
      <c r="U780" s="101"/>
      <c r="V780" s="71"/>
      <c r="W780" s="419"/>
      <c r="X780" s="542"/>
      <c r="Y780" s="542"/>
      <c r="Z780" s="542"/>
    </row>
    <row r="781" spans="1:26" ht="14.25" customHeight="1">
      <c r="A781" s="419" t="s">
        <v>2706</v>
      </c>
      <c r="B781" s="577" t="s">
        <v>309</v>
      </c>
      <c r="C781" s="578" t="s">
        <v>2053</v>
      </c>
      <c r="D781" s="547"/>
      <c r="E781" s="542">
        <v>197862</v>
      </c>
      <c r="F781" s="542"/>
      <c r="G781" s="71"/>
      <c r="H781" s="71"/>
      <c r="I781" s="71"/>
      <c r="J781" s="71" t="s">
        <v>798</v>
      </c>
      <c r="K781" s="71" t="s">
        <v>798</v>
      </c>
      <c r="L781" s="71" t="s">
        <v>798</v>
      </c>
      <c r="M781" s="71" t="s">
        <v>298</v>
      </c>
      <c r="N781" s="71">
        <v>21.094310759999999</v>
      </c>
      <c r="O781" s="71">
        <v>92.335670469999997</v>
      </c>
      <c r="P781" s="71"/>
      <c r="Q781" s="71"/>
      <c r="R781" s="557"/>
      <c r="S781" s="427"/>
      <c r="T781" s="105">
        <v>43300</v>
      </c>
      <c r="U781" s="101"/>
      <c r="V781" s="419"/>
      <c r="W781" s="419"/>
      <c r="X781" s="542"/>
      <c r="Y781" s="542"/>
      <c r="Z781" s="542"/>
    </row>
    <row r="782" spans="1:26" ht="14.25" customHeight="1">
      <c r="A782" s="480" t="s">
        <v>2706</v>
      </c>
      <c r="B782" s="481" t="s">
        <v>309</v>
      </c>
      <c r="C782" s="490" t="s">
        <v>2743</v>
      </c>
      <c r="D782" s="547"/>
      <c r="E782" s="482">
        <v>197800</v>
      </c>
      <c r="F782" s="482" t="s">
        <v>2744</v>
      </c>
      <c r="G782" s="482"/>
      <c r="H782" s="482"/>
      <c r="I782" s="482"/>
      <c r="J782" s="419" t="s">
        <v>798</v>
      </c>
      <c r="K782" s="419" t="s">
        <v>798</v>
      </c>
      <c r="L782" s="419" t="s">
        <v>798</v>
      </c>
      <c r="M782" s="482"/>
      <c r="N782" s="482">
        <v>21.363349914550799</v>
      </c>
      <c r="O782" s="482">
        <v>92.280487060546903</v>
      </c>
      <c r="P782" s="482"/>
      <c r="Q782" s="482" t="s">
        <v>2682</v>
      </c>
      <c r="R782" s="495"/>
      <c r="S782" s="492"/>
      <c r="T782" s="484">
        <v>43580</v>
      </c>
      <c r="U782" s="485" t="s">
        <v>2736</v>
      </c>
      <c r="V782" s="486"/>
      <c r="W782" s="548"/>
      <c r="X782" s="542"/>
      <c r="Y782" s="542"/>
      <c r="Z782" s="542"/>
    </row>
    <row r="783" spans="1:26" ht="14.25" customHeight="1">
      <c r="A783" s="419" t="s">
        <v>2706</v>
      </c>
      <c r="B783" s="566" t="s">
        <v>309</v>
      </c>
      <c r="C783" s="565" t="s">
        <v>661</v>
      </c>
      <c r="D783" s="472" t="s">
        <v>1654</v>
      </c>
      <c r="E783" s="71">
        <v>220734</v>
      </c>
      <c r="F783" s="71" t="s">
        <v>2691</v>
      </c>
      <c r="G783" s="71"/>
      <c r="H783" s="71"/>
      <c r="I783" s="71"/>
      <c r="J783" s="71" t="s">
        <v>798</v>
      </c>
      <c r="K783" s="71" t="s">
        <v>798</v>
      </c>
      <c r="L783" s="71" t="s">
        <v>798</v>
      </c>
      <c r="M783" s="71" t="s">
        <v>298</v>
      </c>
      <c r="N783" s="71">
        <v>20.910375599999998</v>
      </c>
      <c r="O783" s="71">
        <v>92.400138850000005</v>
      </c>
      <c r="P783" s="71" t="s">
        <v>799</v>
      </c>
      <c r="Q783" s="71" t="s">
        <v>802</v>
      </c>
      <c r="R783" s="552"/>
      <c r="S783" s="427"/>
      <c r="T783" s="105">
        <v>42926</v>
      </c>
      <c r="U783" s="101" t="s">
        <v>803</v>
      </c>
      <c r="V783" s="419"/>
      <c r="W783" s="419"/>
      <c r="X783" s="542"/>
      <c r="Y783" s="542"/>
      <c r="Z783" s="542"/>
    </row>
    <row r="784" spans="1:26" ht="14.25" customHeight="1">
      <c r="A784" s="419" t="s">
        <v>2706</v>
      </c>
      <c r="B784" s="577" t="s">
        <v>309</v>
      </c>
      <c r="C784" s="578" t="s">
        <v>313</v>
      </c>
      <c r="D784" s="547" t="s">
        <v>1654</v>
      </c>
      <c r="E784" s="71"/>
      <c r="F784" s="71"/>
      <c r="G784" s="71"/>
      <c r="H784" s="71"/>
      <c r="I784" s="71"/>
      <c r="J784" s="71" t="s">
        <v>798</v>
      </c>
      <c r="K784" s="71" t="s">
        <v>798</v>
      </c>
      <c r="L784" s="71" t="s">
        <v>798</v>
      </c>
      <c r="M784" s="71" t="s">
        <v>298</v>
      </c>
      <c r="N784" s="542"/>
      <c r="O784" s="542"/>
      <c r="P784" s="71" t="s">
        <v>799</v>
      </c>
      <c r="Q784" s="71" t="s">
        <v>780</v>
      </c>
      <c r="R784" s="557"/>
      <c r="S784" s="427"/>
      <c r="T784" s="105"/>
      <c r="U784" s="101"/>
      <c r="V784" s="419" t="s">
        <v>313</v>
      </c>
      <c r="W784" s="419"/>
      <c r="X784" s="542"/>
      <c r="Y784" s="542"/>
      <c r="Z784" s="542"/>
    </row>
    <row r="785" spans="1:26" ht="14.25" customHeight="1">
      <c r="A785" s="419" t="s">
        <v>2706</v>
      </c>
      <c r="B785" s="441" t="s">
        <v>309</v>
      </c>
      <c r="C785" s="440" t="s">
        <v>315</v>
      </c>
      <c r="D785" s="472" t="s">
        <v>1654</v>
      </c>
      <c r="E785" s="71"/>
      <c r="F785" s="71"/>
      <c r="G785" s="71"/>
      <c r="H785" s="71"/>
      <c r="I785" s="71"/>
      <c r="J785" s="71" t="s">
        <v>798</v>
      </c>
      <c r="K785" s="71" t="s">
        <v>798</v>
      </c>
      <c r="L785" s="71" t="s">
        <v>798</v>
      </c>
      <c r="M785" s="71" t="s">
        <v>795</v>
      </c>
      <c r="N785" s="71"/>
      <c r="O785" s="71"/>
      <c r="P785" s="71" t="s">
        <v>799</v>
      </c>
      <c r="Q785" s="71" t="s">
        <v>780</v>
      </c>
      <c r="R785" s="548"/>
      <c r="S785" s="549"/>
      <c r="T785" s="105"/>
      <c r="U785" s="101"/>
      <c r="V785" s="419" t="s">
        <v>1091</v>
      </c>
      <c r="W785" s="419"/>
      <c r="X785" s="542"/>
      <c r="Y785" s="542"/>
      <c r="Z785" s="542"/>
    </row>
    <row r="786" spans="1:26" ht="14.25" customHeight="1">
      <c r="A786" s="419" t="s">
        <v>2706</v>
      </c>
      <c r="B786" s="441" t="s">
        <v>309</v>
      </c>
      <c r="C786" s="440" t="s">
        <v>2302</v>
      </c>
      <c r="D786" s="472"/>
      <c r="E786" s="590">
        <v>196937</v>
      </c>
      <c r="F786" s="546" t="s">
        <v>2691</v>
      </c>
      <c r="G786" s="71"/>
      <c r="H786" s="71"/>
      <c r="I786" s="71"/>
      <c r="J786" s="71" t="s">
        <v>798</v>
      </c>
      <c r="K786" s="71" t="s">
        <v>798</v>
      </c>
      <c r="L786" s="71" t="s">
        <v>798</v>
      </c>
      <c r="M786" s="71" t="s">
        <v>298</v>
      </c>
      <c r="N786" s="542">
        <v>20.646560668945298</v>
      </c>
      <c r="O786" s="542">
        <v>92.976043701171903</v>
      </c>
      <c r="P786" s="71"/>
      <c r="Q786" s="71"/>
      <c r="R786" s="426"/>
      <c r="S786" s="427"/>
      <c r="T786" s="105"/>
      <c r="U786" s="101"/>
      <c r="V786" s="419"/>
      <c r="W786" s="419"/>
      <c r="X786" s="542"/>
      <c r="Y786" s="542"/>
      <c r="Z786" s="542"/>
    </row>
    <row r="787" spans="1:26" ht="14.25" customHeight="1">
      <c r="A787" s="419" t="s">
        <v>2706</v>
      </c>
      <c r="B787" s="441" t="s">
        <v>309</v>
      </c>
      <c r="C787" s="440" t="s">
        <v>2050</v>
      </c>
      <c r="D787" s="472"/>
      <c r="E787" s="71">
        <v>197947</v>
      </c>
      <c r="F787" s="419" t="s">
        <v>2691</v>
      </c>
      <c r="G787" s="71"/>
      <c r="H787" s="71"/>
      <c r="I787" s="71"/>
      <c r="J787" s="71" t="s">
        <v>798</v>
      </c>
      <c r="K787" s="71" t="s">
        <v>798</v>
      </c>
      <c r="L787" s="71" t="s">
        <v>798</v>
      </c>
      <c r="M787" s="71" t="s">
        <v>298</v>
      </c>
      <c r="N787" s="71">
        <v>20.899179459999999</v>
      </c>
      <c r="O787" s="71">
        <v>92.404052730000004</v>
      </c>
      <c r="P787" s="71"/>
      <c r="Q787" s="71"/>
      <c r="R787" s="422"/>
      <c r="S787" s="100"/>
      <c r="T787" s="105">
        <v>43300</v>
      </c>
      <c r="U787" s="101"/>
      <c r="V787" s="71"/>
      <c r="W787" s="419"/>
      <c r="X787" s="542"/>
      <c r="Y787" s="542"/>
      <c r="Z787" s="542"/>
    </row>
    <row r="788" spans="1:26" ht="14.25" customHeight="1">
      <c r="A788" s="419" t="s">
        <v>2706</v>
      </c>
      <c r="B788" s="577" t="s">
        <v>309</v>
      </c>
      <c r="C788" s="578" t="s">
        <v>623</v>
      </c>
      <c r="D788" s="547" t="s">
        <v>1654</v>
      </c>
      <c r="E788" s="71" t="s">
        <v>1393</v>
      </c>
      <c r="F788" s="71"/>
      <c r="G788" s="71"/>
      <c r="H788" s="71" t="s">
        <v>42</v>
      </c>
      <c r="I788" s="71"/>
      <c r="J788" s="71" t="s">
        <v>798</v>
      </c>
      <c r="K788" s="71" t="s">
        <v>798</v>
      </c>
      <c r="L788" s="71" t="s">
        <v>1654</v>
      </c>
      <c r="M788" s="71" t="s">
        <v>795</v>
      </c>
      <c r="N788" s="71">
        <v>20.819958</v>
      </c>
      <c r="O788" s="71">
        <v>92.365793999999994</v>
      </c>
      <c r="P788" s="71" t="s">
        <v>761</v>
      </c>
      <c r="Q788" s="71" t="s">
        <v>780</v>
      </c>
      <c r="R788" s="557"/>
      <c r="S788" s="427"/>
      <c r="T788" s="105">
        <v>43248</v>
      </c>
      <c r="U788" s="101" t="s">
        <v>1901</v>
      </c>
      <c r="V788" s="71"/>
      <c r="W788" s="419"/>
      <c r="X788" s="542"/>
      <c r="Y788" s="542"/>
      <c r="Z788" s="542"/>
    </row>
    <row r="789" spans="1:26" ht="14.25" customHeight="1">
      <c r="A789" s="419" t="s">
        <v>2706</v>
      </c>
      <c r="B789" s="566" t="s">
        <v>309</v>
      </c>
      <c r="C789" s="565" t="s">
        <v>2080</v>
      </c>
      <c r="D789" s="472" t="s">
        <v>1654</v>
      </c>
      <c r="E789" s="71">
        <v>197896</v>
      </c>
      <c r="F789" s="71"/>
      <c r="G789" s="71"/>
      <c r="H789" s="419"/>
      <c r="I789" s="71"/>
      <c r="J789" s="71" t="s">
        <v>798</v>
      </c>
      <c r="K789" s="71" t="s">
        <v>798</v>
      </c>
      <c r="L789" s="71" t="s">
        <v>798</v>
      </c>
      <c r="M789" s="71" t="s">
        <v>298</v>
      </c>
      <c r="N789" s="560">
        <v>20.991559980000002</v>
      </c>
      <c r="O789" s="560">
        <v>92.290878300000003</v>
      </c>
      <c r="P789" s="71" t="s">
        <v>799</v>
      </c>
      <c r="Q789" s="419" t="s">
        <v>780</v>
      </c>
      <c r="R789" s="552"/>
      <c r="S789" s="427"/>
      <c r="T789" s="442"/>
      <c r="U789" s="101"/>
      <c r="V789" s="71" t="s">
        <v>672</v>
      </c>
      <c r="W789" s="419"/>
      <c r="X789" s="542"/>
      <c r="Y789" s="542"/>
      <c r="Z789" s="542"/>
    </row>
    <row r="790" spans="1:26" ht="14.25" customHeight="1">
      <c r="A790" s="419" t="s">
        <v>2706</v>
      </c>
      <c r="B790" s="566" t="s">
        <v>309</v>
      </c>
      <c r="C790" s="565" t="s">
        <v>2085</v>
      </c>
      <c r="D790" s="472"/>
      <c r="E790" s="419">
        <v>197921</v>
      </c>
      <c r="F790" s="419"/>
      <c r="G790" s="419"/>
      <c r="H790" s="419"/>
      <c r="I790" s="419"/>
      <c r="J790" s="71" t="s">
        <v>798</v>
      </c>
      <c r="K790" s="419" t="s">
        <v>798</v>
      </c>
      <c r="L790" s="419" t="s">
        <v>798</v>
      </c>
      <c r="M790" s="71" t="s">
        <v>795</v>
      </c>
      <c r="N790" s="71">
        <v>20.9467392</v>
      </c>
      <c r="O790" s="71">
        <v>92.330482480000001</v>
      </c>
      <c r="P790" s="71"/>
      <c r="Q790" s="71"/>
      <c r="R790" s="552"/>
      <c r="S790" s="427"/>
      <c r="T790" s="105">
        <v>43300</v>
      </c>
      <c r="U790" s="101"/>
      <c r="V790" s="71"/>
      <c r="W790" s="419"/>
      <c r="X790" s="542"/>
      <c r="Y790" s="542"/>
      <c r="Z790" s="542"/>
    </row>
    <row r="791" spans="1:26" ht="14.25" customHeight="1">
      <c r="A791" s="419" t="s">
        <v>2706</v>
      </c>
      <c r="B791" s="566" t="s">
        <v>309</v>
      </c>
      <c r="C791" s="565" t="s">
        <v>2057</v>
      </c>
      <c r="D791" s="472"/>
      <c r="E791" s="71">
        <v>197970</v>
      </c>
      <c r="F791" s="419"/>
      <c r="G791" s="71"/>
      <c r="H791" s="71"/>
      <c r="I791" s="71"/>
      <c r="J791" s="71" t="s">
        <v>798</v>
      </c>
      <c r="K791" s="71" t="s">
        <v>798</v>
      </c>
      <c r="L791" s="71" t="s">
        <v>798</v>
      </c>
      <c r="M791" s="71" t="s">
        <v>795</v>
      </c>
      <c r="N791" s="560">
        <v>20.86484909</v>
      </c>
      <c r="O791" s="560">
        <v>92.347358700000001</v>
      </c>
      <c r="P791" s="71"/>
      <c r="Q791" s="71"/>
      <c r="R791" s="552"/>
      <c r="S791" s="553"/>
      <c r="T791" s="105">
        <v>43300</v>
      </c>
      <c r="U791" s="101"/>
      <c r="V791" s="71"/>
      <c r="W791" s="419"/>
      <c r="X791" s="542"/>
      <c r="Y791" s="542"/>
      <c r="Z791" s="542"/>
    </row>
    <row r="792" spans="1:26" ht="14.25" customHeight="1">
      <c r="A792" s="419" t="s">
        <v>2706</v>
      </c>
      <c r="B792" s="441" t="s">
        <v>309</v>
      </c>
      <c r="C792" s="440" t="s">
        <v>569</v>
      </c>
      <c r="D792" s="472" t="s">
        <v>1654</v>
      </c>
      <c r="E792" s="71">
        <v>198046</v>
      </c>
      <c r="F792" s="71"/>
      <c r="G792" s="71"/>
      <c r="H792" s="71"/>
      <c r="I792" s="71"/>
      <c r="J792" s="71" t="s">
        <v>798</v>
      </c>
      <c r="K792" s="71" t="s">
        <v>798</v>
      </c>
      <c r="L792" s="71" t="s">
        <v>798</v>
      </c>
      <c r="M792" s="71" t="s">
        <v>795</v>
      </c>
      <c r="N792" s="71">
        <v>20.720169070000001</v>
      </c>
      <c r="O792" s="71">
        <v>92.432983399999998</v>
      </c>
      <c r="P792" s="71" t="s">
        <v>799</v>
      </c>
      <c r="Q792" s="71" t="s">
        <v>780</v>
      </c>
      <c r="R792" s="422"/>
      <c r="S792" s="423"/>
      <c r="T792" s="105"/>
      <c r="U792" s="101"/>
      <c r="V792" s="71" t="s">
        <v>569</v>
      </c>
      <c r="W792" s="419"/>
      <c r="X792" s="542"/>
      <c r="Y792" s="542"/>
      <c r="Z792" s="542"/>
    </row>
    <row r="793" spans="1:26" ht="14.25" customHeight="1">
      <c r="A793" s="419" t="s">
        <v>2706</v>
      </c>
      <c r="B793" s="441" t="s">
        <v>309</v>
      </c>
      <c r="C793" s="440" t="s">
        <v>319</v>
      </c>
      <c r="D793" s="472" t="s">
        <v>1654</v>
      </c>
      <c r="E793" s="71"/>
      <c r="F793" s="71"/>
      <c r="G793" s="71"/>
      <c r="H793" s="71"/>
      <c r="I793" s="71"/>
      <c r="J793" s="71" t="s">
        <v>798</v>
      </c>
      <c r="K793" s="71" t="s">
        <v>798</v>
      </c>
      <c r="L793" s="71" t="s">
        <v>798</v>
      </c>
      <c r="M793" s="71" t="s">
        <v>298</v>
      </c>
      <c r="N793" s="419"/>
      <c r="O793" s="419"/>
      <c r="P793" s="71" t="s">
        <v>799</v>
      </c>
      <c r="Q793" s="71" t="s">
        <v>780</v>
      </c>
      <c r="R793" s="552"/>
      <c r="S793" s="553"/>
      <c r="T793" s="105"/>
      <c r="U793" s="101"/>
      <c r="V793" s="71" t="s">
        <v>319</v>
      </c>
      <c r="W793" s="419"/>
      <c r="X793" s="542"/>
      <c r="Y793" s="542"/>
      <c r="Z793" s="542"/>
    </row>
    <row r="794" spans="1:26" ht="14.25" customHeight="1">
      <c r="A794" s="419" t="s">
        <v>2706</v>
      </c>
      <c r="B794" s="446" t="s">
        <v>309</v>
      </c>
      <c r="C794" s="447" t="s">
        <v>563</v>
      </c>
      <c r="D794" s="421" t="s">
        <v>1654</v>
      </c>
      <c r="E794" s="419" t="s">
        <v>1388</v>
      </c>
      <c r="F794" s="419"/>
      <c r="G794" s="419"/>
      <c r="H794" s="419" t="s">
        <v>42</v>
      </c>
      <c r="I794" s="419"/>
      <c r="J794" s="419" t="s">
        <v>798</v>
      </c>
      <c r="K794" s="419" t="s">
        <v>798</v>
      </c>
      <c r="L794" s="419" t="s">
        <v>1654</v>
      </c>
      <c r="M794" s="419" t="s">
        <v>795</v>
      </c>
      <c r="N794" s="419">
        <v>20.714846999999999</v>
      </c>
      <c r="O794" s="419">
        <v>92.443427999999997</v>
      </c>
      <c r="P794" s="419" t="s">
        <v>761</v>
      </c>
      <c r="Q794" s="419" t="s">
        <v>780</v>
      </c>
      <c r="R794" s="557"/>
      <c r="S794" s="553"/>
      <c r="T794" s="442">
        <v>43248</v>
      </c>
      <c r="U794" s="424" t="s">
        <v>1901</v>
      </c>
      <c r="V794" s="419"/>
      <c r="W794" s="419"/>
      <c r="X794" s="542"/>
      <c r="Y794" s="542"/>
      <c r="Z794" s="542"/>
    </row>
    <row r="795" spans="1:26" ht="14.25" customHeight="1">
      <c r="A795" s="419" t="s">
        <v>2706</v>
      </c>
      <c r="B795" s="446" t="s">
        <v>309</v>
      </c>
      <c r="C795" s="447" t="s">
        <v>321</v>
      </c>
      <c r="D795" s="421" t="s">
        <v>1654</v>
      </c>
      <c r="E795" s="542"/>
      <c r="F795" s="71"/>
      <c r="G795" s="71"/>
      <c r="H795" s="71"/>
      <c r="I795" s="71"/>
      <c r="J795" s="71" t="s">
        <v>798</v>
      </c>
      <c r="K795" s="419" t="s">
        <v>798</v>
      </c>
      <c r="L795" s="419" t="s">
        <v>798</v>
      </c>
      <c r="M795" s="71" t="s">
        <v>795</v>
      </c>
      <c r="N795" s="71"/>
      <c r="O795" s="71"/>
      <c r="P795" s="71" t="s">
        <v>799</v>
      </c>
      <c r="Q795" s="71" t="s">
        <v>780</v>
      </c>
      <c r="R795" s="557"/>
      <c r="S795" s="553"/>
      <c r="T795" s="568"/>
      <c r="U795" s="101"/>
      <c r="V795" s="71" t="s">
        <v>321</v>
      </c>
      <c r="W795" s="419"/>
      <c r="X795" s="542"/>
      <c r="Y795" s="542"/>
      <c r="Z795" s="542"/>
    </row>
    <row r="796" spans="1:26" ht="14.25" customHeight="1">
      <c r="A796" s="419" t="s">
        <v>2706</v>
      </c>
      <c r="B796" s="446" t="s">
        <v>309</v>
      </c>
      <c r="C796" s="447" t="s">
        <v>2097</v>
      </c>
      <c r="D796" s="421"/>
      <c r="E796" s="419">
        <v>197934</v>
      </c>
      <c r="F796" s="419"/>
      <c r="G796" s="419"/>
      <c r="H796" s="419"/>
      <c r="I796" s="419"/>
      <c r="J796" s="71" t="s">
        <v>798</v>
      </c>
      <c r="K796" s="419" t="s">
        <v>798</v>
      </c>
      <c r="L796" s="419" t="s">
        <v>798</v>
      </c>
      <c r="M796" s="419" t="s">
        <v>795</v>
      </c>
      <c r="N796" s="419">
        <v>20.857500080000001</v>
      </c>
      <c r="O796" s="419">
        <v>92.357841489999998</v>
      </c>
      <c r="P796" s="71"/>
      <c r="Q796" s="419"/>
      <c r="R796" s="430"/>
      <c r="S796" s="423"/>
      <c r="T796" s="442">
        <v>43300</v>
      </c>
      <c r="U796" s="424"/>
      <c r="V796" s="419"/>
      <c r="W796" s="419"/>
      <c r="X796" s="542"/>
      <c r="Y796" s="542"/>
      <c r="Z796" s="542"/>
    </row>
    <row r="797" spans="1:26" ht="14.25" customHeight="1">
      <c r="A797" s="419" t="s">
        <v>2706</v>
      </c>
      <c r="B797" s="441" t="s">
        <v>309</v>
      </c>
      <c r="C797" s="440" t="s">
        <v>651</v>
      </c>
      <c r="D797" s="472"/>
      <c r="E797" s="71">
        <v>197941</v>
      </c>
      <c r="F797" s="71"/>
      <c r="G797" s="71"/>
      <c r="H797" s="71"/>
      <c r="I797" s="71"/>
      <c r="J797" s="71" t="s">
        <v>798</v>
      </c>
      <c r="K797" s="419" t="s">
        <v>798</v>
      </c>
      <c r="L797" s="419" t="s">
        <v>798</v>
      </c>
      <c r="M797" s="71" t="s">
        <v>795</v>
      </c>
      <c r="N797" s="71">
        <v>20.83185005</v>
      </c>
      <c r="O797" s="419">
        <v>92.359428410000007</v>
      </c>
      <c r="P797" s="71"/>
      <c r="Q797" s="71"/>
      <c r="R797" s="422"/>
      <c r="S797" s="100"/>
      <c r="T797" s="105">
        <v>43300</v>
      </c>
      <c r="U797" s="101"/>
      <c r="V797" s="71"/>
      <c r="W797" s="419"/>
      <c r="X797" s="542"/>
      <c r="Y797" s="542"/>
      <c r="Z797" s="542"/>
    </row>
    <row r="798" spans="1:26" ht="14.25" customHeight="1">
      <c r="A798" s="419" t="s">
        <v>2706</v>
      </c>
      <c r="B798" s="566" t="s">
        <v>309</v>
      </c>
      <c r="C798" s="565" t="s">
        <v>2074</v>
      </c>
      <c r="D798" s="472"/>
      <c r="E798" s="419">
        <v>197872</v>
      </c>
      <c r="F798" s="419"/>
      <c r="G798" s="419"/>
      <c r="H798" s="419"/>
      <c r="I798" s="419"/>
      <c r="J798" s="419" t="s">
        <v>798</v>
      </c>
      <c r="K798" s="419" t="s">
        <v>798</v>
      </c>
      <c r="L798" s="419" t="s">
        <v>798</v>
      </c>
      <c r="M798" s="419" t="s">
        <v>2093</v>
      </c>
      <c r="N798" s="419">
        <v>21.07212067</v>
      </c>
      <c r="O798" s="419">
        <v>92.314163210000004</v>
      </c>
      <c r="P798" s="419"/>
      <c r="Q798" s="419"/>
      <c r="R798" s="548"/>
      <c r="S798" s="423"/>
      <c r="T798" s="442">
        <v>43300</v>
      </c>
      <c r="U798" s="424"/>
      <c r="V798" s="419"/>
      <c r="W798" s="419"/>
      <c r="X798" s="542"/>
      <c r="Y798" s="542"/>
      <c r="Z798" s="542"/>
    </row>
    <row r="799" spans="1:26" ht="14.25" customHeight="1">
      <c r="A799" s="419" t="s">
        <v>2706</v>
      </c>
      <c r="B799" s="577" t="s">
        <v>309</v>
      </c>
      <c r="C799" s="578" t="s">
        <v>562</v>
      </c>
      <c r="D799" s="547" t="s">
        <v>1654</v>
      </c>
      <c r="E799" s="71">
        <v>198049</v>
      </c>
      <c r="F799" s="71"/>
      <c r="G799" s="71"/>
      <c r="H799" s="71"/>
      <c r="I799" s="71"/>
      <c r="J799" s="71" t="s">
        <v>798</v>
      </c>
      <c r="K799" s="71" t="s">
        <v>798</v>
      </c>
      <c r="L799" s="71" t="s">
        <v>798</v>
      </c>
      <c r="M799" s="71" t="s">
        <v>795</v>
      </c>
      <c r="N799" s="71">
        <v>20.714559560000001</v>
      </c>
      <c r="O799" s="71">
        <v>92.435226439999994</v>
      </c>
      <c r="P799" s="71" t="s">
        <v>799</v>
      </c>
      <c r="Q799" s="71" t="s">
        <v>780</v>
      </c>
      <c r="R799" s="556"/>
      <c r="S799" s="423"/>
      <c r="T799" s="105"/>
      <c r="U799" s="101"/>
      <c r="V799" s="71" t="s">
        <v>562</v>
      </c>
      <c r="W799" s="419"/>
      <c r="X799" s="542"/>
      <c r="Y799" s="542"/>
      <c r="Z799" s="542"/>
    </row>
    <row r="800" spans="1:26" ht="14.25" customHeight="1">
      <c r="A800" s="419" t="s">
        <v>2706</v>
      </c>
      <c r="B800" s="446" t="s">
        <v>309</v>
      </c>
      <c r="C800" s="447" t="s">
        <v>683</v>
      </c>
      <c r="D800" s="421" t="s">
        <v>1654</v>
      </c>
      <c r="E800" s="183">
        <v>220731</v>
      </c>
      <c r="F800" s="419"/>
      <c r="G800" s="419"/>
      <c r="H800" s="419"/>
      <c r="I800" s="419"/>
      <c r="J800" s="71" t="s">
        <v>798</v>
      </c>
      <c r="K800" s="71" t="s">
        <v>798</v>
      </c>
      <c r="L800" s="71" t="s">
        <v>798</v>
      </c>
      <c r="M800" s="419" t="s">
        <v>683</v>
      </c>
      <c r="N800" s="419">
        <v>21.027990339999999</v>
      </c>
      <c r="O800" s="419">
        <v>92.298881530000003</v>
      </c>
      <c r="P800" s="71" t="s">
        <v>799</v>
      </c>
      <c r="Q800" s="419" t="s">
        <v>780</v>
      </c>
      <c r="R800" s="430"/>
      <c r="S800" s="423"/>
      <c r="T800" s="185">
        <v>43300</v>
      </c>
      <c r="U800" s="424"/>
      <c r="V800" s="419" t="s">
        <v>683</v>
      </c>
      <c r="W800" s="419"/>
      <c r="X800" s="542"/>
      <c r="Y800" s="542"/>
      <c r="Z800" s="542"/>
    </row>
    <row r="801" spans="1:26" ht="14.25" customHeight="1">
      <c r="A801" s="419" t="s">
        <v>2706</v>
      </c>
      <c r="B801" s="577" t="s">
        <v>309</v>
      </c>
      <c r="C801" s="578" t="s">
        <v>561</v>
      </c>
      <c r="D801" s="547" t="s">
        <v>1654</v>
      </c>
      <c r="E801" s="71" t="s">
        <v>1387</v>
      </c>
      <c r="F801" s="419"/>
      <c r="G801" s="71"/>
      <c r="H801" s="419" t="s">
        <v>42</v>
      </c>
      <c r="I801" s="71"/>
      <c r="J801" s="71" t="s">
        <v>798</v>
      </c>
      <c r="K801" s="419" t="s">
        <v>798</v>
      </c>
      <c r="L801" s="419" t="s">
        <v>1654</v>
      </c>
      <c r="M801" s="71" t="s">
        <v>795</v>
      </c>
      <c r="N801" s="71">
        <v>20.713882999999999</v>
      </c>
      <c r="O801" s="419">
        <v>92.435378</v>
      </c>
      <c r="P801" s="71" t="s">
        <v>761</v>
      </c>
      <c r="Q801" s="419" t="s">
        <v>780</v>
      </c>
      <c r="R801" s="556"/>
      <c r="S801" s="423"/>
      <c r="T801" s="442">
        <v>43248</v>
      </c>
      <c r="U801" s="424" t="s">
        <v>1901</v>
      </c>
      <c r="V801" s="71"/>
      <c r="W801" s="419"/>
      <c r="X801" s="542"/>
      <c r="Y801" s="542"/>
      <c r="Z801" s="542"/>
    </row>
    <row r="802" spans="1:26" ht="14.25" customHeight="1">
      <c r="A802" s="419" t="s">
        <v>2706</v>
      </c>
      <c r="B802" s="441" t="s">
        <v>309</v>
      </c>
      <c r="C802" s="440" t="s">
        <v>669</v>
      </c>
      <c r="D802" s="472" t="s">
        <v>1654</v>
      </c>
      <c r="E802" s="71">
        <v>197913</v>
      </c>
      <c r="F802" s="71"/>
      <c r="G802" s="71"/>
      <c r="H802" s="71"/>
      <c r="I802" s="71"/>
      <c r="J802" s="71" t="s">
        <v>798</v>
      </c>
      <c r="K802" s="71" t="s">
        <v>798</v>
      </c>
      <c r="L802" s="71" t="s">
        <v>798</v>
      </c>
      <c r="M802" s="71" t="s">
        <v>298</v>
      </c>
      <c r="N802" s="71">
        <v>20.987419129999999</v>
      </c>
      <c r="O802" s="71">
        <v>92.362136840000005</v>
      </c>
      <c r="P802" s="71" t="s">
        <v>799</v>
      </c>
      <c r="Q802" s="71" t="s">
        <v>802</v>
      </c>
      <c r="R802" s="422"/>
      <c r="S802" s="423"/>
      <c r="T802" s="105">
        <v>42926</v>
      </c>
      <c r="U802" s="101" t="s">
        <v>803</v>
      </c>
      <c r="V802" s="71"/>
      <c r="W802" s="419"/>
      <c r="X802" s="542"/>
      <c r="Y802" s="542"/>
      <c r="Z802" s="542"/>
    </row>
    <row r="803" spans="1:26" ht="14.25" customHeight="1">
      <c r="A803" s="419" t="s">
        <v>2706</v>
      </c>
      <c r="B803" s="577" t="s">
        <v>309</v>
      </c>
      <c r="C803" s="578" t="s">
        <v>670</v>
      </c>
      <c r="D803" s="547" t="s">
        <v>1654</v>
      </c>
      <c r="E803" s="419">
        <v>197913</v>
      </c>
      <c r="F803" s="419"/>
      <c r="G803" s="419"/>
      <c r="H803" s="419"/>
      <c r="I803" s="419"/>
      <c r="J803" s="419" t="s">
        <v>798</v>
      </c>
      <c r="K803" s="419" t="s">
        <v>798</v>
      </c>
      <c r="L803" s="419" t="s">
        <v>798</v>
      </c>
      <c r="M803" s="419" t="s">
        <v>795</v>
      </c>
      <c r="N803" s="419">
        <v>20.987419129999999</v>
      </c>
      <c r="O803" s="419">
        <v>92.362136840000005</v>
      </c>
      <c r="P803" s="419" t="s">
        <v>799</v>
      </c>
      <c r="Q803" s="419" t="s">
        <v>780</v>
      </c>
      <c r="R803" s="556"/>
      <c r="S803" s="423"/>
      <c r="T803" s="442">
        <v>42745</v>
      </c>
      <c r="U803" s="424"/>
      <c r="V803" s="419" t="s">
        <v>952</v>
      </c>
      <c r="W803" s="419"/>
      <c r="X803" s="542"/>
      <c r="Y803" s="542"/>
      <c r="Z803" s="542"/>
    </row>
    <row r="804" spans="1:26" ht="14.25" customHeight="1">
      <c r="A804" s="419" t="s">
        <v>2706</v>
      </c>
      <c r="B804" s="441" t="s">
        <v>309</v>
      </c>
      <c r="C804" s="440" t="s">
        <v>2101</v>
      </c>
      <c r="D804" s="472"/>
      <c r="E804" s="71">
        <v>197913</v>
      </c>
      <c r="F804" s="419"/>
      <c r="G804" s="71"/>
      <c r="H804" s="71"/>
      <c r="I804" s="71"/>
      <c r="J804" s="71" t="s">
        <v>798</v>
      </c>
      <c r="K804" s="419" t="s">
        <v>798</v>
      </c>
      <c r="L804" s="419" t="s">
        <v>798</v>
      </c>
      <c r="M804" s="71" t="s">
        <v>298</v>
      </c>
      <c r="N804" s="71">
        <v>20.987419129999999</v>
      </c>
      <c r="O804" s="71">
        <v>92.362136840000005</v>
      </c>
      <c r="P804" s="71"/>
      <c r="Q804" s="71"/>
      <c r="R804" s="422"/>
      <c r="S804" s="423"/>
      <c r="T804" s="105">
        <v>43300</v>
      </c>
      <c r="U804" s="101"/>
      <c r="V804" s="71"/>
      <c r="W804" s="419"/>
      <c r="X804" s="542"/>
      <c r="Y804" s="542"/>
      <c r="Z804" s="542"/>
    </row>
    <row r="805" spans="1:26" ht="14.25" customHeight="1">
      <c r="A805" s="419" t="s">
        <v>2706</v>
      </c>
      <c r="B805" s="446" t="s">
        <v>309</v>
      </c>
      <c r="C805" s="447" t="s">
        <v>2088</v>
      </c>
      <c r="D805" s="421"/>
      <c r="E805" s="419">
        <v>198084</v>
      </c>
      <c r="F805" s="71"/>
      <c r="G805" s="71"/>
      <c r="H805" s="71"/>
      <c r="I805" s="419"/>
      <c r="J805" s="71" t="s">
        <v>798</v>
      </c>
      <c r="K805" s="71" t="s">
        <v>798</v>
      </c>
      <c r="L805" s="419" t="s">
        <v>798</v>
      </c>
      <c r="M805" s="71" t="s">
        <v>298</v>
      </c>
      <c r="N805" s="71">
        <v>20.51251984</v>
      </c>
      <c r="O805" s="71">
        <v>92.582893369999994</v>
      </c>
      <c r="P805" s="71"/>
      <c r="Q805" s="71"/>
      <c r="R805" s="430"/>
      <c r="S805" s="423"/>
      <c r="T805" s="105">
        <v>43300</v>
      </c>
      <c r="U805" s="101"/>
      <c r="V805" s="71"/>
      <c r="W805" s="419"/>
      <c r="X805" s="542"/>
      <c r="Y805" s="542"/>
      <c r="Z805" s="542"/>
    </row>
    <row r="806" spans="1:26" ht="14.25" customHeight="1">
      <c r="A806" s="419" t="s">
        <v>2706</v>
      </c>
      <c r="B806" s="441" t="s">
        <v>309</v>
      </c>
      <c r="C806" s="440" t="s">
        <v>2116</v>
      </c>
      <c r="D806" s="472"/>
      <c r="E806" s="419"/>
      <c r="F806" s="419"/>
      <c r="G806" s="419"/>
      <c r="H806" s="419"/>
      <c r="I806" s="419"/>
      <c r="J806" s="419" t="s">
        <v>798</v>
      </c>
      <c r="K806" s="419" t="s">
        <v>798</v>
      </c>
      <c r="L806" s="419" t="s">
        <v>798</v>
      </c>
      <c r="M806" s="419" t="s">
        <v>298</v>
      </c>
      <c r="N806" s="419"/>
      <c r="O806" s="419"/>
      <c r="P806" s="419"/>
      <c r="Q806" s="419"/>
      <c r="R806" s="422"/>
      <c r="S806" s="423"/>
      <c r="T806" s="442">
        <v>43300</v>
      </c>
      <c r="U806" s="424"/>
      <c r="V806" s="419"/>
      <c r="W806" s="419"/>
      <c r="X806" s="542"/>
      <c r="Y806" s="542"/>
      <c r="Z806" s="542"/>
    </row>
    <row r="807" spans="1:26" ht="14.25" customHeight="1">
      <c r="A807" s="419" t="s">
        <v>2706</v>
      </c>
      <c r="B807" s="566" t="s">
        <v>309</v>
      </c>
      <c r="C807" s="565" t="s">
        <v>1904</v>
      </c>
      <c r="D807" s="472"/>
      <c r="E807" s="71">
        <v>197969</v>
      </c>
      <c r="F807" s="419" t="s">
        <v>2577</v>
      </c>
      <c r="G807" s="71"/>
      <c r="H807" s="71"/>
      <c r="I807" s="71"/>
      <c r="J807" s="71" t="s">
        <v>798</v>
      </c>
      <c r="K807" s="71" t="s">
        <v>798</v>
      </c>
      <c r="L807" s="71" t="s">
        <v>798</v>
      </c>
      <c r="M807" s="71" t="s">
        <v>795</v>
      </c>
      <c r="N807" s="71">
        <v>20.866529459999999</v>
      </c>
      <c r="O807" s="71">
        <v>92.364883419999998</v>
      </c>
      <c r="P807" s="71" t="s">
        <v>799</v>
      </c>
      <c r="Q807" s="71" t="s">
        <v>1908</v>
      </c>
      <c r="R807" s="548"/>
      <c r="S807" s="423"/>
      <c r="T807" s="105">
        <v>43245</v>
      </c>
      <c r="U807" s="101"/>
      <c r="V807" s="71"/>
      <c r="W807" s="419"/>
      <c r="X807" s="542"/>
      <c r="Y807" s="542"/>
      <c r="Z807" s="542"/>
    </row>
    <row r="808" spans="1:26" ht="14.25" customHeight="1">
      <c r="A808" s="419" t="s">
        <v>2706</v>
      </c>
      <c r="B808" s="566" t="s">
        <v>309</v>
      </c>
      <c r="C808" s="565" t="s">
        <v>2099</v>
      </c>
      <c r="D808" s="472"/>
      <c r="E808" s="419">
        <v>197936</v>
      </c>
      <c r="F808" s="71"/>
      <c r="G808" s="71"/>
      <c r="H808" s="71"/>
      <c r="I808" s="419"/>
      <c r="J808" s="71" t="s">
        <v>798</v>
      </c>
      <c r="K808" s="71" t="s">
        <v>798</v>
      </c>
      <c r="L808" s="419" t="s">
        <v>798</v>
      </c>
      <c r="M808" s="71" t="s">
        <v>298</v>
      </c>
      <c r="N808" s="71">
        <v>20.84993935</v>
      </c>
      <c r="O808" s="71">
        <v>92.348213200000004</v>
      </c>
      <c r="P808" s="71"/>
      <c r="Q808" s="71"/>
      <c r="R808" s="548"/>
      <c r="S808" s="423"/>
      <c r="T808" s="105">
        <v>43300</v>
      </c>
      <c r="U808" s="101"/>
      <c r="V808" s="71"/>
      <c r="W808" s="419"/>
      <c r="X808" s="542"/>
      <c r="Y808" s="542"/>
      <c r="Z808" s="542"/>
    </row>
    <row r="809" spans="1:26" ht="14.25" customHeight="1">
      <c r="A809" s="419" t="s">
        <v>2706</v>
      </c>
      <c r="B809" s="566" t="s">
        <v>309</v>
      </c>
      <c r="C809" s="440" t="s">
        <v>2063</v>
      </c>
      <c r="D809" s="472"/>
      <c r="E809" s="419">
        <v>197986</v>
      </c>
      <c r="F809" s="419"/>
      <c r="G809" s="419"/>
      <c r="H809" s="419"/>
      <c r="I809" s="419"/>
      <c r="J809" s="419" t="s">
        <v>798</v>
      </c>
      <c r="K809" s="419" t="s">
        <v>798</v>
      </c>
      <c r="L809" s="419" t="s">
        <v>798</v>
      </c>
      <c r="M809" s="419" t="s">
        <v>795</v>
      </c>
      <c r="N809" s="419">
        <v>20.819730759999999</v>
      </c>
      <c r="O809" s="419">
        <v>92.376846310000005</v>
      </c>
      <c r="P809" s="419"/>
      <c r="Q809" s="542"/>
      <c r="R809" s="548"/>
      <c r="S809" s="423"/>
      <c r="T809" s="568">
        <v>43300</v>
      </c>
      <c r="U809" s="424"/>
      <c r="V809" s="419"/>
      <c r="W809" s="419"/>
      <c r="X809" s="542"/>
      <c r="Y809" s="542"/>
      <c r="Z809" s="542"/>
    </row>
    <row r="810" spans="1:26" ht="14.25" customHeight="1">
      <c r="A810" s="419" t="s">
        <v>2706</v>
      </c>
      <c r="B810" s="446" t="s">
        <v>309</v>
      </c>
      <c r="C810" s="447" t="s">
        <v>371</v>
      </c>
      <c r="D810" s="421"/>
      <c r="E810" s="71">
        <v>197967</v>
      </c>
      <c r="F810" s="71"/>
      <c r="G810" s="71"/>
      <c r="H810" s="71"/>
      <c r="I810" s="71"/>
      <c r="J810" s="71" t="s">
        <v>798</v>
      </c>
      <c r="K810" s="71" t="s">
        <v>798</v>
      </c>
      <c r="L810" s="71" t="s">
        <v>798</v>
      </c>
      <c r="M810" s="71" t="s">
        <v>795</v>
      </c>
      <c r="N810" s="71">
        <v>20.872419359999999</v>
      </c>
      <c r="O810" s="71">
        <v>92.352493289999998</v>
      </c>
      <c r="P810" s="71"/>
      <c r="Q810" s="71"/>
      <c r="R810" s="430"/>
      <c r="S810" s="423"/>
      <c r="T810" s="105">
        <v>43300</v>
      </c>
      <c r="U810" s="101"/>
      <c r="V810" s="71"/>
      <c r="W810" s="419"/>
      <c r="X810" s="542"/>
      <c r="Y810" s="542"/>
      <c r="Z810" s="542"/>
    </row>
    <row r="811" spans="1:26" ht="14.25" customHeight="1">
      <c r="A811" s="419" t="s">
        <v>2706</v>
      </c>
      <c r="B811" s="566" t="s">
        <v>309</v>
      </c>
      <c r="C811" s="565" t="s">
        <v>2576</v>
      </c>
      <c r="D811" s="472"/>
      <c r="E811" s="71"/>
      <c r="F811" s="71"/>
      <c r="G811" s="71"/>
      <c r="H811" s="71"/>
      <c r="I811" s="71"/>
      <c r="J811" s="71" t="s">
        <v>798</v>
      </c>
      <c r="K811" s="71" t="s">
        <v>798</v>
      </c>
      <c r="L811" s="71" t="s">
        <v>798</v>
      </c>
      <c r="M811" s="71" t="s">
        <v>795</v>
      </c>
      <c r="N811" s="71"/>
      <c r="O811" s="71"/>
      <c r="P811" s="71"/>
      <c r="Q811" s="71"/>
      <c r="R811" s="548"/>
      <c r="S811" s="423"/>
      <c r="T811" s="105"/>
      <c r="U811" s="101"/>
      <c r="V811" s="71"/>
      <c r="W811" s="419"/>
      <c r="X811" s="542"/>
      <c r="Y811" s="542"/>
      <c r="Z811" s="542"/>
    </row>
    <row r="812" spans="1:26" ht="14.25" customHeight="1">
      <c r="A812" s="419" t="s">
        <v>2706</v>
      </c>
      <c r="B812" s="577" t="s">
        <v>309</v>
      </c>
      <c r="C812" s="578" t="s">
        <v>2098</v>
      </c>
      <c r="D812" s="421"/>
      <c r="E812" s="71">
        <v>197935</v>
      </c>
      <c r="F812" s="71"/>
      <c r="G812" s="71"/>
      <c r="H812" s="71"/>
      <c r="I812" s="71"/>
      <c r="J812" s="71" t="s">
        <v>798</v>
      </c>
      <c r="K812" s="542" t="s">
        <v>798</v>
      </c>
      <c r="L812" s="542" t="s">
        <v>798</v>
      </c>
      <c r="M812" s="71" t="s">
        <v>795</v>
      </c>
      <c r="N812" s="71">
        <v>20.85008049</v>
      </c>
      <c r="O812" s="71">
        <v>92.353576660000002</v>
      </c>
      <c r="P812" s="71"/>
      <c r="Q812" s="71"/>
      <c r="R812" s="556"/>
      <c r="S812" s="423"/>
      <c r="T812" s="105">
        <v>43300</v>
      </c>
      <c r="U812" s="101"/>
      <c r="V812" s="71"/>
      <c r="W812" s="419"/>
      <c r="X812" s="542"/>
      <c r="Y812" s="542"/>
      <c r="Z812" s="542"/>
    </row>
    <row r="813" spans="1:26" ht="14.25" customHeight="1">
      <c r="A813" s="419" t="s">
        <v>2706</v>
      </c>
      <c r="B813" s="577" t="s">
        <v>309</v>
      </c>
      <c r="C813" s="578" t="s">
        <v>633</v>
      </c>
      <c r="D813" s="547" t="s">
        <v>1654</v>
      </c>
      <c r="E813" s="71">
        <v>197992</v>
      </c>
      <c r="F813" s="419"/>
      <c r="G813" s="71"/>
      <c r="H813" s="71"/>
      <c r="I813" s="71"/>
      <c r="J813" s="71" t="s">
        <v>798</v>
      </c>
      <c r="K813" s="542" t="s">
        <v>798</v>
      </c>
      <c r="L813" s="542" t="s">
        <v>798</v>
      </c>
      <c r="M813" s="71" t="s">
        <v>795</v>
      </c>
      <c r="N813" s="71">
        <v>20.83049011</v>
      </c>
      <c r="O813" s="71">
        <v>92.393707280000001</v>
      </c>
      <c r="P813" s="71" t="s">
        <v>799</v>
      </c>
      <c r="Q813" s="71" t="s">
        <v>780</v>
      </c>
      <c r="R813" s="556"/>
      <c r="S813" s="423"/>
      <c r="T813" s="105"/>
      <c r="U813" s="101"/>
      <c r="V813" s="71" t="s">
        <v>633</v>
      </c>
      <c r="W813" s="419"/>
      <c r="X813" s="542"/>
      <c r="Y813" s="542"/>
      <c r="Z813" s="542"/>
    </row>
    <row r="814" spans="1:26" ht="14.25" customHeight="1">
      <c r="A814" s="419" t="s">
        <v>2706</v>
      </c>
      <c r="B814" s="446" t="s">
        <v>309</v>
      </c>
      <c r="C814" s="565" t="s">
        <v>629</v>
      </c>
      <c r="D814" s="421" t="s">
        <v>1654</v>
      </c>
      <c r="E814" s="71">
        <v>197989</v>
      </c>
      <c r="F814" s="71"/>
      <c r="G814" s="71"/>
      <c r="H814" s="71"/>
      <c r="I814" s="71"/>
      <c r="J814" s="71" t="s">
        <v>798</v>
      </c>
      <c r="K814" s="542" t="s">
        <v>798</v>
      </c>
      <c r="L814" s="542" t="s">
        <v>798</v>
      </c>
      <c r="M814" s="71" t="s">
        <v>795</v>
      </c>
      <c r="N814" s="71">
        <v>20.82498932</v>
      </c>
      <c r="O814" s="71">
        <v>92.390571589999993</v>
      </c>
      <c r="P814" s="71" t="s">
        <v>799</v>
      </c>
      <c r="Q814" s="546" t="s">
        <v>780</v>
      </c>
      <c r="R814" s="430"/>
      <c r="S814" s="423"/>
      <c r="T814" s="569"/>
      <c r="U814" s="101"/>
      <c r="V814" s="71" t="s">
        <v>629</v>
      </c>
      <c r="W814" s="419"/>
      <c r="X814" s="542"/>
      <c r="Y814" s="542"/>
      <c r="Z814" s="542"/>
    </row>
    <row r="815" spans="1:26" ht="14.25" customHeight="1">
      <c r="A815" s="419" t="s">
        <v>2706</v>
      </c>
      <c r="B815" s="577" t="s">
        <v>309</v>
      </c>
      <c r="C815" s="578" t="s">
        <v>2047</v>
      </c>
      <c r="D815" s="547"/>
      <c r="E815" s="71">
        <v>197937</v>
      </c>
      <c r="F815" s="71"/>
      <c r="G815" s="71"/>
      <c r="H815" s="71"/>
      <c r="I815" s="71"/>
      <c r="J815" s="71" t="s">
        <v>798</v>
      </c>
      <c r="K815" s="542" t="s">
        <v>798</v>
      </c>
      <c r="L815" s="542" t="s">
        <v>798</v>
      </c>
      <c r="M815" s="71" t="s">
        <v>795</v>
      </c>
      <c r="N815" s="71">
        <v>20.845720289999999</v>
      </c>
      <c r="O815" s="71">
        <v>92.353950499999996</v>
      </c>
      <c r="P815" s="71"/>
      <c r="Q815" s="71"/>
      <c r="R815" s="556"/>
      <c r="S815" s="423"/>
      <c r="T815" s="105">
        <v>43300</v>
      </c>
      <c r="U815" s="101"/>
      <c r="V815" s="71"/>
      <c r="W815" s="419"/>
      <c r="X815" s="542"/>
      <c r="Y815" s="542"/>
      <c r="Z815" s="542"/>
    </row>
    <row r="816" spans="1:26" ht="14.25" customHeight="1">
      <c r="A816" s="419" t="s">
        <v>2706</v>
      </c>
      <c r="B816" s="446" t="s">
        <v>309</v>
      </c>
      <c r="C816" s="447" t="s">
        <v>625</v>
      </c>
      <c r="D816" s="421" t="s">
        <v>1654</v>
      </c>
      <c r="E816" s="71">
        <v>217894</v>
      </c>
      <c r="F816" s="419"/>
      <c r="G816" s="71"/>
      <c r="H816" s="71"/>
      <c r="I816" s="71"/>
      <c r="J816" s="71" t="s">
        <v>798</v>
      </c>
      <c r="K816" s="542" t="s">
        <v>798</v>
      </c>
      <c r="L816" s="542" t="s">
        <v>798</v>
      </c>
      <c r="M816" s="71" t="s">
        <v>298</v>
      </c>
      <c r="N816" s="71">
        <v>20.822059629999998</v>
      </c>
      <c r="O816" s="71">
        <v>92.41690826</v>
      </c>
      <c r="P816" s="71" t="s">
        <v>799</v>
      </c>
      <c r="Q816" s="71" t="s">
        <v>780</v>
      </c>
      <c r="R816" s="430"/>
      <c r="S816" s="423"/>
      <c r="T816" s="105"/>
      <c r="U816" s="101"/>
      <c r="V816" s="71" t="s">
        <v>625</v>
      </c>
      <c r="W816" s="419"/>
      <c r="X816" s="542"/>
      <c r="Y816" s="542"/>
      <c r="Z816" s="542"/>
    </row>
    <row r="817" spans="1:26" ht="14.25" customHeight="1">
      <c r="A817" s="549" t="s">
        <v>2706</v>
      </c>
      <c r="B817" s="577" t="s">
        <v>309</v>
      </c>
      <c r="C817" s="578" t="s">
        <v>2886</v>
      </c>
      <c r="D817" s="547"/>
      <c r="E817" s="71">
        <v>217895</v>
      </c>
      <c r="F817" s="574" t="s">
        <v>2892</v>
      </c>
      <c r="G817" s="71"/>
      <c r="H817" s="71"/>
      <c r="I817" s="71"/>
      <c r="J817" s="71" t="s">
        <v>798</v>
      </c>
      <c r="K817" s="542" t="s">
        <v>798</v>
      </c>
      <c r="L817" s="542" t="s">
        <v>798</v>
      </c>
      <c r="M817" s="71" t="s">
        <v>298</v>
      </c>
      <c r="N817" s="71">
        <v>20.8013000488281</v>
      </c>
      <c r="O817" s="71">
        <v>92.423202514648395</v>
      </c>
      <c r="P817" s="71" t="s">
        <v>799</v>
      </c>
      <c r="Q817" s="71" t="s">
        <v>780</v>
      </c>
      <c r="R817" s="556"/>
      <c r="S817" s="423"/>
      <c r="T817" s="105"/>
      <c r="U817" s="556"/>
      <c r="V817" s="71" t="s">
        <v>607</v>
      </c>
      <c r="W817" s="548"/>
      <c r="X817" s="542"/>
      <c r="Y817" s="542"/>
      <c r="Z817" s="542"/>
    </row>
    <row r="818" spans="1:26" ht="14.25" customHeight="1">
      <c r="A818" s="419" t="s">
        <v>2706</v>
      </c>
      <c r="B818" s="441" t="s">
        <v>309</v>
      </c>
      <c r="C818" s="440" t="s">
        <v>2082</v>
      </c>
      <c r="D818" s="547" t="s">
        <v>1654</v>
      </c>
      <c r="E818" s="71">
        <v>197890</v>
      </c>
      <c r="F818" s="71"/>
      <c r="G818" s="71"/>
      <c r="H818" s="71"/>
      <c r="I818" s="71"/>
      <c r="J818" s="71" t="s">
        <v>798</v>
      </c>
      <c r="K818" s="546" t="s">
        <v>798</v>
      </c>
      <c r="L818" s="546" t="s">
        <v>798</v>
      </c>
      <c r="M818" s="71" t="s">
        <v>298</v>
      </c>
      <c r="N818" s="71">
        <v>21.016569140000001</v>
      </c>
      <c r="O818" s="71">
        <v>92.307716369999994</v>
      </c>
      <c r="P818" s="71" t="s">
        <v>799</v>
      </c>
      <c r="Q818" s="71" t="s">
        <v>780</v>
      </c>
      <c r="R818" s="422"/>
      <c r="S818" s="423"/>
      <c r="T818" s="105">
        <v>43300</v>
      </c>
      <c r="U818" s="101"/>
      <c r="V818" s="71" t="s">
        <v>678</v>
      </c>
      <c r="W818" s="419"/>
      <c r="X818" s="542"/>
      <c r="Y818" s="542"/>
      <c r="Z818" s="542"/>
    </row>
    <row r="819" spans="1:26" ht="14.25" customHeight="1">
      <c r="A819" s="419" t="s">
        <v>2706</v>
      </c>
      <c r="B819" s="441" t="s">
        <v>309</v>
      </c>
      <c r="C819" s="440" t="s">
        <v>326</v>
      </c>
      <c r="D819" s="472" t="s">
        <v>1654</v>
      </c>
      <c r="E819" s="551"/>
      <c r="F819" s="419"/>
      <c r="G819" s="419"/>
      <c r="H819" s="419"/>
      <c r="I819" s="419"/>
      <c r="J819" s="419" t="s">
        <v>798</v>
      </c>
      <c r="K819" s="546" t="s">
        <v>798</v>
      </c>
      <c r="L819" s="546" t="s">
        <v>798</v>
      </c>
      <c r="M819" s="419" t="s">
        <v>795</v>
      </c>
      <c r="N819" s="419"/>
      <c r="O819" s="542"/>
      <c r="P819" s="419" t="s">
        <v>799</v>
      </c>
      <c r="Q819" s="419" t="s">
        <v>780</v>
      </c>
      <c r="R819" s="422"/>
      <c r="S819" s="423"/>
      <c r="T819" s="442"/>
      <c r="U819" s="424"/>
      <c r="V819" s="419"/>
      <c r="W819" s="419"/>
      <c r="X819" s="542"/>
      <c r="Y819" s="542"/>
      <c r="Z819" s="542"/>
    </row>
    <row r="820" spans="1:26" ht="14.25" customHeight="1">
      <c r="A820" s="419" t="s">
        <v>2706</v>
      </c>
      <c r="B820" s="446" t="s">
        <v>309</v>
      </c>
      <c r="C820" s="447" t="s">
        <v>589</v>
      </c>
      <c r="D820" s="421" t="s">
        <v>1654</v>
      </c>
      <c r="E820" s="71">
        <v>220739</v>
      </c>
      <c r="F820" s="71"/>
      <c r="G820" s="71"/>
      <c r="H820" s="71"/>
      <c r="I820" s="71"/>
      <c r="J820" s="71" t="s">
        <v>798</v>
      </c>
      <c r="K820" s="546" t="s">
        <v>798</v>
      </c>
      <c r="L820" s="546" t="s">
        <v>798</v>
      </c>
      <c r="M820" s="71" t="s">
        <v>298</v>
      </c>
      <c r="N820" s="71">
        <v>20.76523972</v>
      </c>
      <c r="O820" s="71">
        <v>92.422332760000003</v>
      </c>
      <c r="P820" s="71" t="s">
        <v>799</v>
      </c>
      <c r="Q820" s="71" t="s">
        <v>780</v>
      </c>
      <c r="R820" s="430"/>
      <c r="S820" s="423"/>
      <c r="T820" s="105"/>
      <c r="U820" s="101"/>
      <c r="V820" s="71" t="s">
        <v>934</v>
      </c>
      <c r="W820" s="419"/>
      <c r="X820" s="542"/>
      <c r="Y820" s="542"/>
      <c r="Z820" s="542"/>
    </row>
    <row r="821" spans="1:26" ht="14.25" customHeight="1">
      <c r="A821" s="419" t="s">
        <v>2706</v>
      </c>
      <c r="B821" s="441" t="s">
        <v>309</v>
      </c>
      <c r="C821" s="440" t="s">
        <v>564</v>
      </c>
      <c r="D821" s="472" t="s">
        <v>1654</v>
      </c>
      <c r="E821" s="419">
        <v>220744</v>
      </c>
      <c r="F821" s="542"/>
      <c r="G821" s="419"/>
      <c r="H821" s="419"/>
      <c r="I821" s="419"/>
      <c r="J821" s="419" t="s">
        <v>798</v>
      </c>
      <c r="K821" s="546" t="s">
        <v>798</v>
      </c>
      <c r="L821" s="546" t="s">
        <v>798</v>
      </c>
      <c r="M821" s="419" t="s">
        <v>298</v>
      </c>
      <c r="N821" s="419">
        <v>20.71612167</v>
      </c>
      <c r="O821" s="419">
        <v>92.442459110000001</v>
      </c>
      <c r="P821" s="71" t="s">
        <v>799</v>
      </c>
      <c r="Q821" s="419" t="s">
        <v>780</v>
      </c>
      <c r="R821" s="422"/>
      <c r="S821" s="423"/>
      <c r="T821" s="442"/>
      <c r="U821" s="424"/>
      <c r="V821" s="419" t="s">
        <v>930</v>
      </c>
      <c r="W821" s="419"/>
      <c r="X821" s="542"/>
      <c r="Y821" s="542"/>
      <c r="Z821" s="542"/>
    </row>
    <row r="822" spans="1:26" ht="14.25" customHeight="1">
      <c r="A822" s="419" t="s">
        <v>2706</v>
      </c>
      <c r="B822" s="446" t="s">
        <v>309</v>
      </c>
      <c r="C822" s="447" t="s">
        <v>530</v>
      </c>
      <c r="D822" s="421" t="s">
        <v>1654</v>
      </c>
      <c r="E822" s="419">
        <v>198024</v>
      </c>
      <c r="F822" s="542"/>
      <c r="G822" s="71"/>
      <c r="H822" s="419"/>
      <c r="I822" s="419"/>
      <c r="J822" s="419" t="s">
        <v>798</v>
      </c>
      <c r="K822" s="546" t="s">
        <v>798</v>
      </c>
      <c r="L822" s="546" t="s">
        <v>798</v>
      </c>
      <c r="M822" s="419" t="s">
        <v>795</v>
      </c>
      <c r="N822" s="419">
        <v>20.669300079999999</v>
      </c>
      <c r="O822" s="542">
        <v>92.46575928</v>
      </c>
      <c r="P822" s="71" t="s">
        <v>799</v>
      </c>
      <c r="Q822" s="419" t="s">
        <v>780</v>
      </c>
      <c r="R822" s="430"/>
      <c r="S822" s="423"/>
      <c r="T822" s="442">
        <v>42745</v>
      </c>
      <c r="U822" s="424"/>
      <c r="V822" s="71" t="s">
        <v>924</v>
      </c>
      <c r="W822" s="419"/>
      <c r="X822" s="542"/>
      <c r="Y822" s="542"/>
      <c r="Z822" s="542"/>
    </row>
    <row r="823" spans="1:26" ht="14.25" customHeight="1">
      <c r="A823" s="419" t="s">
        <v>2706</v>
      </c>
      <c r="B823" s="566" t="s">
        <v>309</v>
      </c>
      <c r="C823" s="565" t="s">
        <v>684</v>
      </c>
      <c r="D823" s="472" t="s">
        <v>1654</v>
      </c>
      <c r="E823" s="71">
        <v>197887</v>
      </c>
      <c r="F823" s="542"/>
      <c r="G823" s="71"/>
      <c r="H823" s="71"/>
      <c r="I823" s="71"/>
      <c r="J823" s="71" t="s">
        <v>798</v>
      </c>
      <c r="K823" s="546" t="s">
        <v>798</v>
      </c>
      <c r="L823" s="546" t="s">
        <v>798</v>
      </c>
      <c r="M823" s="71" t="s">
        <v>795</v>
      </c>
      <c r="N823" s="71">
        <v>21.04866028</v>
      </c>
      <c r="O823" s="71">
        <v>92.293350219999994</v>
      </c>
      <c r="P823" s="71" t="s">
        <v>799</v>
      </c>
      <c r="Q823" s="71" t="s">
        <v>780</v>
      </c>
      <c r="R823" s="548"/>
      <c r="S823" s="423"/>
      <c r="T823" s="105"/>
      <c r="U823" s="101"/>
      <c r="V823" s="71" t="s">
        <v>684</v>
      </c>
      <c r="W823" s="419"/>
      <c r="X823" s="542"/>
      <c r="Y823" s="542"/>
      <c r="Z823" s="542"/>
    </row>
    <row r="824" spans="1:26" ht="14.25" customHeight="1">
      <c r="A824" s="419" t="s">
        <v>2706</v>
      </c>
      <c r="B824" s="441" t="s">
        <v>309</v>
      </c>
      <c r="C824" s="440" t="s">
        <v>2073</v>
      </c>
      <c r="D824" s="472"/>
      <c r="E824" s="71">
        <v>198094</v>
      </c>
      <c r="F824" s="542"/>
      <c r="G824" s="71"/>
      <c r="H824" s="71"/>
      <c r="I824" s="71"/>
      <c r="J824" s="71" t="s">
        <v>798</v>
      </c>
      <c r="K824" s="542" t="s">
        <v>798</v>
      </c>
      <c r="L824" s="542" t="s">
        <v>798</v>
      </c>
      <c r="M824" s="71" t="s">
        <v>298</v>
      </c>
      <c r="N824" s="71">
        <v>21.157270430000001</v>
      </c>
      <c r="O824" s="71">
        <v>92.209739690000006</v>
      </c>
      <c r="P824" s="71"/>
      <c r="Q824" s="71"/>
      <c r="R824" s="422"/>
      <c r="S824" s="423"/>
      <c r="T824" s="105">
        <v>43300</v>
      </c>
      <c r="U824" s="101"/>
      <c r="V824" s="71"/>
      <c r="W824" s="419"/>
      <c r="X824" s="542"/>
      <c r="Y824" s="542"/>
      <c r="Z824" s="542"/>
    </row>
    <row r="825" spans="1:26" ht="14.25" customHeight="1">
      <c r="A825" s="419" t="s">
        <v>2706</v>
      </c>
      <c r="B825" s="441" t="s">
        <v>309</v>
      </c>
      <c r="C825" s="440" t="s">
        <v>2060</v>
      </c>
      <c r="D825" s="472"/>
      <c r="E825" s="546">
        <v>197950</v>
      </c>
      <c r="F825" s="71"/>
      <c r="G825" s="71"/>
      <c r="H825" s="419"/>
      <c r="I825" s="419"/>
      <c r="J825" s="419" t="s">
        <v>798</v>
      </c>
      <c r="K825" s="542" t="s">
        <v>798</v>
      </c>
      <c r="L825" s="542" t="s">
        <v>798</v>
      </c>
      <c r="M825" s="419" t="s">
        <v>795</v>
      </c>
      <c r="N825" s="419">
        <v>20.914119719999999</v>
      </c>
      <c r="O825" s="546">
        <v>92.3506012</v>
      </c>
      <c r="P825" s="71"/>
      <c r="Q825" s="419"/>
      <c r="R825" s="422"/>
      <c r="S825" s="423"/>
      <c r="T825" s="442">
        <v>43300</v>
      </c>
      <c r="U825" s="424"/>
      <c r="V825" s="71"/>
      <c r="W825" s="419"/>
      <c r="X825" s="542"/>
      <c r="Y825" s="542"/>
      <c r="Z825" s="542"/>
    </row>
    <row r="826" spans="1:26" ht="14.25" customHeight="1">
      <c r="A826" s="419" t="s">
        <v>2706</v>
      </c>
      <c r="B826" s="577" t="s">
        <v>309</v>
      </c>
      <c r="C826" s="578" t="s">
        <v>2089</v>
      </c>
      <c r="D826" s="547"/>
      <c r="E826" s="71">
        <v>198075</v>
      </c>
      <c r="F826" s="71"/>
      <c r="G826" s="71"/>
      <c r="H826" s="71"/>
      <c r="I826" s="71"/>
      <c r="J826" s="71" t="s">
        <v>798</v>
      </c>
      <c r="K826" s="542" t="s">
        <v>798</v>
      </c>
      <c r="L826" s="542" t="s">
        <v>798</v>
      </c>
      <c r="M826" s="71" t="s">
        <v>298</v>
      </c>
      <c r="N826" s="71">
        <v>20.543220519999998</v>
      </c>
      <c r="O826" s="71">
        <v>92.544296259999996</v>
      </c>
      <c r="P826" s="71"/>
      <c r="Q826" s="71"/>
      <c r="R826" s="556"/>
      <c r="S826" s="423"/>
      <c r="T826" s="105">
        <v>43300</v>
      </c>
      <c r="U826" s="101"/>
      <c r="V826" s="71"/>
      <c r="W826" s="419"/>
      <c r="X826" s="542"/>
      <c r="Y826" s="542"/>
      <c r="Z826" s="542"/>
    </row>
    <row r="827" spans="1:26" ht="14.25" customHeight="1">
      <c r="A827" s="419" t="s">
        <v>2706</v>
      </c>
      <c r="B827" s="566" t="s">
        <v>309</v>
      </c>
      <c r="C827" s="565" t="s">
        <v>496</v>
      </c>
      <c r="D827" s="472" t="s">
        <v>1654</v>
      </c>
      <c r="E827" s="71">
        <v>198075</v>
      </c>
      <c r="F827" s="546"/>
      <c r="G827" s="71"/>
      <c r="H827" s="71"/>
      <c r="I827" s="71"/>
      <c r="J827" s="71" t="s">
        <v>798</v>
      </c>
      <c r="K827" s="542" t="s">
        <v>798</v>
      </c>
      <c r="L827" s="542" t="s">
        <v>798</v>
      </c>
      <c r="M827" s="71" t="s">
        <v>298</v>
      </c>
      <c r="N827" s="71">
        <v>20.543220519999998</v>
      </c>
      <c r="O827" s="71">
        <v>92.544296259999996</v>
      </c>
      <c r="P827" s="71" t="s">
        <v>799</v>
      </c>
      <c r="Q827" s="71" t="s">
        <v>780</v>
      </c>
      <c r="R827" s="548"/>
      <c r="S827" s="423"/>
      <c r="T827" s="105"/>
      <c r="U827" s="101"/>
      <c r="V827" s="71" t="s">
        <v>496</v>
      </c>
      <c r="W827" s="419"/>
      <c r="X827" s="542"/>
      <c r="Y827" s="542"/>
      <c r="Z827" s="542"/>
    </row>
    <row r="828" spans="1:26" ht="14.25" customHeight="1">
      <c r="A828" s="419" t="s">
        <v>2706</v>
      </c>
      <c r="B828" s="577" t="s">
        <v>309</v>
      </c>
      <c r="C828" s="578" t="s">
        <v>520</v>
      </c>
      <c r="D828" s="547" t="s">
        <v>1654</v>
      </c>
      <c r="E828" s="419">
        <v>198058</v>
      </c>
      <c r="F828" s="546"/>
      <c r="G828" s="71"/>
      <c r="H828" s="71"/>
      <c r="I828" s="71"/>
      <c r="J828" s="71" t="s">
        <v>798</v>
      </c>
      <c r="K828" s="71" t="s">
        <v>798</v>
      </c>
      <c r="L828" s="419" t="s">
        <v>798</v>
      </c>
      <c r="M828" s="71" t="s">
        <v>795</v>
      </c>
      <c r="N828" s="71">
        <v>20.64685059</v>
      </c>
      <c r="O828" s="546">
        <v>92.493553160000005</v>
      </c>
      <c r="P828" s="71" t="s">
        <v>799</v>
      </c>
      <c r="Q828" s="71" t="s">
        <v>780</v>
      </c>
      <c r="R828" s="556"/>
      <c r="S828" s="423"/>
      <c r="T828" s="105"/>
      <c r="U828" s="101"/>
      <c r="V828" s="71" t="s">
        <v>520</v>
      </c>
      <c r="W828" s="419"/>
      <c r="X828" s="542"/>
      <c r="Y828" s="542"/>
      <c r="Z828" s="542"/>
    </row>
    <row r="829" spans="1:26" ht="14.25" customHeight="1">
      <c r="A829" s="419" t="s">
        <v>2706</v>
      </c>
      <c r="B829" s="446" t="s">
        <v>309</v>
      </c>
      <c r="C829" s="447" t="s">
        <v>2052</v>
      </c>
      <c r="D829" s="421"/>
      <c r="E829" s="71">
        <v>197943</v>
      </c>
      <c r="F829" s="546"/>
      <c r="G829" s="71"/>
      <c r="H829" s="71"/>
      <c r="I829" s="71"/>
      <c r="J829" s="71" t="s">
        <v>798</v>
      </c>
      <c r="K829" s="71" t="s">
        <v>798</v>
      </c>
      <c r="L829" s="71" t="s">
        <v>798</v>
      </c>
      <c r="M829" s="71" t="s">
        <v>795</v>
      </c>
      <c r="N829" s="71">
        <v>20.895000459999999</v>
      </c>
      <c r="O829" s="71">
        <v>92.398574830000001</v>
      </c>
      <c r="P829" s="71"/>
      <c r="Q829" s="71"/>
      <c r="R829" s="430"/>
      <c r="S829" s="423"/>
      <c r="T829" s="105">
        <v>43300</v>
      </c>
      <c r="U829" s="101"/>
      <c r="V829" s="71"/>
      <c r="W829" s="419"/>
      <c r="X829" s="542"/>
      <c r="Y829" s="542"/>
      <c r="Z829" s="542"/>
    </row>
    <row r="830" spans="1:26" ht="14.25" customHeight="1">
      <c r="A830" s="419" t="s">
        <v>2706</v>
      </c>
      <c r="B830" s="566" t="s">
        <v>309</v>
      </c>
      <c r="C830" s="565" t="s">
        <v>2051</v>
      </c>
      <c r="D830" s="472"/>
      <c r="E830" s="71">
        <v>197943</v>
      </c>
      <c r="F830" s="546"/>
      <c r="G830" s="71"/>
      <c r="H830" s="71"/>
      <c r="I830" s="71"/>
      <c r="J830" s="71" t="s">
        <v>798</v>
      </c>
      <c r="K830" s="546" t="s">
        <v>798</v>
      </c>
      <c r="L830" s="546" t="s">
        <v>798</v>
      </c>
      <c r="M830" s="71" t="s">
        <v>795</v>
      </c>
      <c r="N830" s="71">
        <v>20.895000459999999</v>
      </c>
      <c r="O830" s="71">
        <v>92.398574830000001</v>
      </c>
      <c r="P830" s="71"/>
      <c r="Q830" s="71"/>
      <c r="R830" s="548"/>
      <c r="S830" s="423"/>
      <c r="T830" s="105">
        <v>43300</v>
      </c>
      <c r="U830" s="101"/>
      <c r="V830" s="71"/>
      <c r="W830" s="419"/>
      <c r="X830" s="542"/>
      <c r="Y830" s="542"/>
      <c r="Z830" s="542"/>
    </row>
    <row r="831" spans="1:26" ht="14.25" customHeight="1">
      <c r="A831" s="419" t="s">
        <v>2706</v>
      </c>
      <c r="B831" s="566" t="s">
        <v>309</v>
      </c>
      <c r="C831" s="440" t="s">
        <v>2019</v>
      </c>
      <c r="D831" s="472"/>
      <c r="E831" s="419">
        <v>197878</v>
      </c>
      <c r="F831" s="419" t="s">
        <v>2018</v>
      </c>
      <c r="G831" s="419"/>
      <c r="H831" s="419"/>
      <c r="I831" s="419"/>
      <c r="J831" s="419" t="s">
        <v>798</v>
      </c>
      <c r="K831" s="546" t="s">
        <v>798</v>
      </c>
      <c r="L831" s="546" t="s">
        <v>798</v>
      </c>
      <c r="M831" s="419" t="s">
        <v>795</v>
      </c>
      <c r="N831" s="419">
        <v>21.012830730000001</v>
      </c>
      <c r="O831" s="419">
        <v>92.338958739999995</v>
      </c>
      <c r="P831" s="419"/>
      <c r="Q831" s="542"/>
      <c r="R831" s="548"/>
      <c r="S831" s="423"/>
      <c r="T831" s="568">
        <v>43300</v>
      </c>
      <c r="U831" s="424"/>
      <c r="V831" s="419"/>
      <c r="W831" s="419"/>
      <c r="X831" s="542"/>
      <c r="Y831" s="542"/>
      <c r="Z831" s="542"/>
    </row>
    <row r="832" spans="1:26" ht="14.25" customHeight="1">
      <c r="A832" s="419" t="s">
        <v>2706</v>
      </c>
      <c r="B832" s="566" t="s">
        <v>309</v>
      </c>
      <c r="C832" s="565" t="s">
        <v>680</v>
      </c>
      <c r="D832" s="472" t="s">
        <v>1654</v>
      </c>
      <c r="E832" s="71">
        <v>197880</v>
      </c>
      <c r="F832" s="71"/>
      <c r="G832" s="71"/>
      <c r="H832" s="71"/>
      <c r="I832" s="71"/>
      <c r="J832" s="71" t="s">
        <v>798</v>
      </c>
      <c r="K832" s="546" t="s">
        <v>798</v>
      </c>
      <c r="L832" s="546" t="s">
        <v>798</v>
      </c>
      <c r="M832" s="71" t="s">
        <v>795</v>
      </c>
      <c r="N832" s="71">
        <v>21.021259310000001</v>
      </c>
      <c r="O832" s="542">
        <v>92.339538570000002</v>
      </c>
      <c r="P832" s="71" t="s">
        <v>799</v>
      </c>
      <c r="Q832" s="71" t="s">
        <v>780</v>
      </c>
      <c r="R832" s="548"/>
      <c r="S832" s="423"/>
      <c r="T832" s="105"/>
      <c r="U832" s="101"/>
      <c r="V832" s="71" t="s">
        <v>680</v>
      </c>
      <c r="W832" s="419"/>
      <c r="X832" s="542"/>
      <c r="Y832" s="542"/>
      <c r="Z832" s="542"/>
    </row>
    <row r="833" spans="1:26" ht="14.25" customHeight="1">
      <c r="A833" s="419" t="s">
        <v>2706</v>
      </c>
      <c r="B833" s="577" t="s">
        <v>309</v>
      </c>
      <c r="C833" s="578" t="s">
        <v>2056</v>
      </c>
      <c r="D833" s="547"/>
      <c r="E833" s="71"/>
      <c r="F833" s="419"/>
      <c r="G833" s="71"/>
      <c r="H833" s="71"/>
      <c r="I833" s="71"/>
      <c r="J833" s="71" t="s">
        <v>798</v>
      </c>
      <c r="K833" s="546" t="s">
        <v>798</v>
      </c>
      <c r="L833" s="546" t="s">
        <v>798</v>
      </c>
      <c r="M833" s="71" t="s">
        <v>795</v>
      </c>
      <c r="N833" s="71"/>
      <c r="O833" s="71"/>
      <c r="P833" s="419"/>
      <c r="Q833" s="71"/>
      <c r="R833" s="556"/>
      <c r="S833" s="100"/>
      <c r="T833" s="105">
        <v>43300</v>
      </c>
      <c r="U833" s="101"/>
      <c r="V833" s="71"/>
      <c r="W833" s="419"/>
      <c r="X833" s="542"/>
      <c r="Y833" s="542"/>
      <c r="Z833" s="542"/>
    </row>
    <row r="834" spans="1:26" ht="14.25" customHeight="1">
      <c r="A834" s="419" t="s">
        <v>2706</v>
      </c>
      <c r="B834" s="441" t="s">
        <v>309</v>
      </c>
      <c r="C834" s="440" t="s">
        <v>568</v>
      </c>
      <c r="D834" s="472" t="s">
        <v>1654</v>
      </c>
      <c r="E834" s="419">
        <v>198048</v>
      </c>
      <c r="F834" s="542"/>
      <c r="G834" s="419"/>
      <c r="H834" s="419"/>
      <c r="I834" s="419"/>
      <c r="J834" s="419" t="s">
        <v>798</v>
      </c>
      <c r="K834" s="419" t="s">
        <v>798</v>
      </c>
      <c r="L834" s="419" t="s">
        <v>798</v>
      </c>
      <c r="M834" s="419" t="s">
        <v>795</v>
      </c>
      <c r="N834" s="419">
        <v>20.720079420000001</v>
      </c>
      <c r="O834" s="419">
        <v>92.423591610000003</v>
      </c>
      <c r="P834" s="71" t="s">
        <v>799</v>
      </c>
      <c r="Q834" s="419" t="s">
        <v>780</v>
      </c>
      <c r="R834" s="422"/>
      <c r="S834" s="423"/>
      <c r="T834" s="442"/>
      <c r="U834" s="424"/>
      <c r="V834" s="419" t="s">
        <v>568</v>
      </c>
      <c r="W834" s="419"/>
      <c r="X834" s="542"/>
      <c r="Y834" s="542"/>
      <c r="Z834" s="542"/>
    </row>
    <row r="835" spans="1:26" ht="14.25" customHeight="1">
      <c r="A835" s="419" t="s">
        <v>2706</v>
      </c>
      <c r="B835" s="446" t="s">
        <v>309</v>
      </c>
      <c r="C835" s="447" t="s">
        <v>2112</v>
      </c>
      <c r="D835" s="421"/>
      <c r="E835" s="419">
        <v>220728</v>
      </c>
      <c r="F835" s="542"/>
      <c r="G835" s="419"/>
      <c r="H835" s="419"/>
      <c r="I835" s="419"/>
      <c r="J835" s="419" t="s">
        <v>798</v>
      </c>
      <c r="K835" s="419" t="s">
        <v>798</v>
      </c>
      <c r="L835" s="419" t="s">
        <v>798</v>
      </c>
      <c r="M835" s="419" t="s">
        <v>2090</v>
      </c>
      <c r="N835" s="419">
        <v>21.090957639999999</v>
      </c>
      <c r="O835" s="419">
        <v>92.361534120000002</v>
      </c>
      <c r="P835" s="71"/>
      <c r="Q835" s="419"/>
      <c r="R835" s="430"/>
      <c r="S835" s="423"/>
      <c r="T835" s="442">
        <v>43300</v>
      </c>
      <c r="U835" s="424"/>
      <c r="V835" s="419"/>
      <c r="W835" s="419"/>
      <c r="X835" s="542"/>
      <c r="Y835" s="542"/>
      <c r="Z835" s="542"/>
    </row>
    <row r="836" spans="1:26" ht="14.25" customHeight="1">
      <c r="A836" s="419" t="s">
        <v>2706</v>
      </c>
      <c r="B836" s="577" t="s">
        <v>309</v>
      </c>
      <c r="C836" s="578" t="s">
        <v>685</v>
      </c>
      <c r="D836" s="547" t="s">
        <v>1654</v>
      </c>
      <c r="E836" s="71">
        <v>197883</v>
      </c>
      <c r="F836" s="419"/>
      <c r="G836" s="71"/>
      <c r="H836" s="71"/>
      <c r="I836" s="71"/>
      <c r="J836" s="71" t="s">
        <v>798</v>
      </c>
      <c r="K836" s="71" t="s">
        <v>798</v>
      </c>
      <c r="L836" s="71" t="s">
        <v>798</v>
      </c>
      <c r="M836" s="71" t="s">
        <v>795</v>
      </c>
      <c r="N836" s="71">
        <v>21.05369949</v>
      </c>
      <c r="O836" s="71">
        <v>92.324119569999993</v>
      </c>
      <c r="P836" s="71" t="s">
        <v>799</v>
      </c>
      <c r="Q836" s="71" t="s">
        <v>780</v>
      </c>
      <c r="R836" s="556"/>
      <c r="S836" s="423"/>
      <c r="T836" s="105"/>
      <c r="U836" s="101"/>
      <c r="V836" s="71" t="s">
        <v>956</v>
      </c>
      <c r="W836" s="419"/>
      <c r="X836" s="542"/>
      <c r="Y836" s="542"/>
      <c r="Z836" s="542"/>
    </row>
    <row r="837" spans="1:26" ht="14.25" customHeight="1">
      <c r="A837" s="419" t="s">
        <v>2706</v>
      </c>
      <c r="B837" s="577" t="s">
        <v>309</v>
      </c>
      <c r="C837" s="440" t="s">
        <v>679</v>
      </c>
      <c r="D837" s="547" t="s">
        <v>1654</v>
      </c>
      <c r="E837" s="71">
        <v>197879</v>
      </c>
      <c r="F837" s="71"/>
      <c r="G837" s="71"/>
      <c r="H837" s="71"/>
      <c r="I837" s="71"/>
      <c r="J837" s="71" t="s">
        <v>798</v>
      </c>
      <c r="K837" s="71" t="s">
        <v>798</v>
      </c>
      <c r="L837" s="71" t="s">
        <v>798</v>
      </c>
      <c r="M837" s="71" t="s">
        <v>795</v>
      </c>
      <c r="N837" s="71">
        <v>21.0184803</v>
      </c>
      <c r="O837" s="71">
        <v>92.333999629999994</v>
      </c>
      <c r="P837" s="71" t="s">
        <v>799</v>
      </c>
      <c r="Q837" s="546" t="s">
        <v>780</v>
      </c>
      <c r="R837" s="556"/>
      <c r="S837" s="100"/>
      <c r="T837" s="569"/>
      <c r="U837" s="101"/>
      <c r="V837" s="71" t="s">
        <v>679</v>
      </c>
      <c r="W837" s="419"/>
      <c r="X837" s="542"/>
      <c r="Y837" s="542"/>
      <c r="Z837" s="542"/>
    </row>
    <row r="838" spans="1:26" ht="14.25" customHeight="1">
      <c r="A838" s="419" t="s">
        <v>2706</v>
      </c>
      <c r="B838" s="577" t="s">
        <v>309</v>
      </c>
      <c r="C838" s="578" t="s">
        <v>327</v>
      </c>
      <c r="D838" s="547" t="s">
        <v>1654</v>
      </c>
      <c r="E838" s="71"/>
      <c r="F838" s="71"/>
      <c r="G838" s="71"/>
      <c r="H838" s="71"/>
      <c r="I838" s="71"/>
      <c r="J838" s="71" t="s">
        <v>798</v>
      </c>
      <c r="K838" s="71" t="s">
        <v>798</v>
      </c>
      <c r="L838" s="71" t="s">
        <v>798</v>
      </c>
      <c r="M838" s="71" t="s">
        <v>298</v>
      </c>
      <c r="N838" s="419"/>
      <c r="O838" s="546"/>
      <c r="P838" s="71" t="s">
        <v>799</v>
      </c>
      <c r="Q838" s="71" t="s">
        <v>780</v>
      </c>
      <c r="R838" s="556"/>
      <c r="S838" s="100"/>
      <c r="T838" s="105"/>
      <c r="U838" s="101"/>
      <c r="V838" s="71" t="s">
        <v>327</v>
      </c>
      <c r="W838" s="419"/>
      <c r="X838" s="542"/>
      <c r="Y838" s="542"/>
      <c r="Z838" s="542"/>
    </row>
    <row r="839" spans="1:26" ht="14.25" customHeight="1">
      <c r="A839" s="419" t="s">
        <v>2706</v>
      </c>
      <c r="B839" s="441" t="s">
        <v>309</v>
      </c>
      <c r="C839" s="440" t="s">
        <v>601</v>
      </c>
      <c r="D839" s="472" t="s">
        <v>1654</v>
      </c>
      <c r="E839" s="71">
        <v>198001</v>
      </c>
      <c r="F839" s="71"/>
      <c r="G839" s="71"/>
      <c r="H839" s="71"/>
      <c r="I839" s="71"/>
      <c r="J839" s="71" t="s">
        <v>798</v>
      </c>
      <c r="K839" s="71" t="s">
        <v>798</v>
      </c>
      <c r="L839" s="71" t="s">
        <v>798</v>
      </c>
      <c r="M839" s="71" t="s">
        <v>795</v>
      </c>
      <c r="N839" s="71">
        <v>20.78729057</v>
      </c>
      <c r="O839" s="71">
        <v>92.401252749999998</v>
      </c>
      <c r="P839" s="71" t="s">
        <v>799</v>
      </c>
      <c r="Q839" s="71" t="s">
        <v>780</v>
      </c>
      <c r="R839" s="422"/>
      <c r="S839" s="100"/>
      <c r="T839" s="105"/>
      <c r="U839" s="101"/>
      <c r="V839" s="71" t="s">
        <v>601</v>
      </c>
      <c r="W839" s="419"/>
      <c r="X839" s="542"/>
      <c r="Y839" s="542"/>
      <c r="Z839" s="542"/>
    </row>
    <row r="840" spans="1:26" ht="14.25" customHeight="1">
      <c r="A840" s="419" t="s">
        <v>2706</v>
      </c>
      <c r="B840" s="441" t="s">
        <v>309</v>
      </c>
      <c r="C840" s="440" t="s">
        <v>2064</v>
      </c>
      <c r="D840" s="472"/>
      <c r="E840" s="71">
        <v>197987</v>
      </c>
      <c r="F840" s="546"/>
      <c r="G840" s="71"/>
      <c r="H840" s="71"/>
      <c r="I840" s="71"/>
      <c r="J840" s="71" t="s">
        <v>798</v>
      </c>
      <c r="K840" s="71" t="s">
        <v>798</v>
      </c>
      <c r="L840" s="71" t="s">
        <v>798</v>
      </c>
      <c r="M840" s="71" t="s">
        <v>795</v>
      </c>
      <c r="N840" s="71">
        <v>20.81588936</v>
      </c>
      <c r="O840" s="71">
        <v>92.372566219999996</v>
      </c>
      <c r="P840" s="71"/>
      <c r="Q840" s="71"/>
      <c r="R840" s="422"/>
      <c r="S840" s="100"/>
      <c r="T840" s="105">
        <v>43300</v>
      </c>
      <c r="U840" s="101"/>
      <c r="V840" s="71"/>
      <c r="W840" s="419"/>
      <c r="X840" s="542"/>
      <c r="Y840" s="542"/>
      <c r="Z840" s="542"/>
    </row>
    <row r="841" spans="1:26" ht="14.25" customHeight="1">
      <c r="A841" s="419" t="s">
        <v>2706</v>
      </c>
      <c r="B841" s="446" t="s">
        <v>309</v>
      </c>
      <c r="C841" s="447" t="s">
        <v>2106</v>
      </c>
      <c r="D841" s="421"/>
      <c r="E841" s="71">
        <v>198089</v>
      </c>
      <c r="F841" s="546"/>
      <c r="G841" s="71"/>
      <c r="H841" s="71"/>
      <c r="I841" s="71"/>
      <c r="J841" s="71" t="s">
        <v>798</v>
      </c>
      <c r="K841" s="71" t="s">
        <v>798</v>
      </c>
      <c r="L841" s="71" t="s">
        <v>798</v>
      </c>
      <c r="M841" s="71" t="s">
        <v>2093</v>
      </c>
      <c r="N841" s="71">
        <v>21.19529915</v>
      </c>
      <c r="O841" s="71">
        <v>92.221542360000001</v>
      </c>
      <c r="P841" s="71"/>
      <c r="Q841" s="71"/>
      <c r="R841" s="430"/>
      <c r="S841" s="423"/>
      <c r="T841" s="105">
        <v>43300</v>
      </c>
      <c r="U841" s="101"/>
      <c r="V841" s="542"/>
      <c r="W841" s="419"/>
      <c r="X841" s="542"/>
      <c r="Y841" s="542"/>
      <c r="Z841" s="542"/>
    </row>
    <row r="842" spans="1:26" ht="14.25" customHeight="1">
      <c r="A842" s="419" t="s">
        <v>2706</v>
      </c>
      <c r="B842" s="441" t="s">
        <v>309</v>
      </c>
      <c r="C842" s="440" t="s">
        <v>2086</v>
      </c>
      <c r="D842" s="472"/>
      <c r="E842" s="71">
        <v>197922</v>
      </c>
      <c r="F842" s="71"/>
      <c r="G842" s="71"/>
      <c r="H842" s="71"/>
      <c r="I842" s="71"/>
      <c r="J842" s="71" t="s">
        <v>798</v>
      </c>
      <c r="K842" s="71" t="s">
        <v>798</v>
      </c>
      <c r="L842" s="71" t="s">
        <v>798</v>
      </c>
      <c r="M842" s="71" t="s">
        <v>795</v>
      </c>
      <c r="N842" s="71">
        <v>20.93643951</v>
      </c>
      <c r="O842" s="71">
        <v>92.314498900000004</v>
      </c>
      <c r="P842" s="71"/>
      <c r="Q842" s="71"/>
      <c r="R842" s="422"/>
      <c r="S842" s="423"/>
      <c r="T842" s="105">
        <v>43300</v>
      </c>
      <c r="U842" s="101"/>
      <c r="V842" s="542"/>
      <c r="W842" s="419"/>
      <c r="X842" s="542"/>
      <c r="Y842" s="542"/>
      <c r="Z842" s="542"/>
    </row>
    <row r="843" spans="1:26" ht="14.25" customHeight="1">
      <c r="A843" s="419" t="s">
        <v>2706</v>
      </c>
      <c r="B843" s="566" t="s">
        <v>309</v>
      </c>
      <c r="C843" s="565" t="s">
        <v>1905</v>
      </c>
      <c r="D843" s="472"/>
      <c r="E843" s="71">
        <v>197961</v>
      </c>
      <c r="F843" s="71"/>
      <c r="G843" s="71"/>
      <c r="H843" s="71"/>
      <c r="I843" s="71"/>
      <c r="J843" s="71" t="s">
        <v>798</v>
      </c>
      <c r="K843" s="71" t="s">
        <v>798</v>
      </c>
      <c r="L843" s="71" t="s">
        <v>798</v>
      </c>
      <c r="M843" s="71" t="s">
        <v>795</v>
      </c>
      <c r="N843" s="419">
        <v>20.903369900000001</v>
      </c>
      <c r="O843" s="419">
        <v>92.332237239999998</v>
      </c>
      <c r="P843" s="71" t="s">
        <v>799</v>
      </c>
      <c r="Q843" s="71" t="s">
        <v>1908</v>
      </c>
      <c r="R843" s="548"/>
      <c r="S843" s="100"/>
      <c r="T843" s="105">
        <v>43245</v>
      </c>
      <c r="U843" s="101"/>
      <c r="V843" s="71"/>
      <c r="W843" s="419"/>
      <c r="X843" s="542"/>
      <c r="Y843" s="542"/>
      <c r="Z843" s="542"/>
    </row>
    <row r="844" spans="1:26" ht="14.25" customHeight="1">
      <c r="A844" s="419" t="s">
        <v>2706</v>
      </c>
      <c r="B844" s="441" t="s">
        <v>309</v>
      </c>
      <c r="C844" s="440" t="s">
        <v>2104</v>
      </c>
      <c r="D844" s="472"/>
      <c r="E844" s="71">
        <v>197847</v>
      </c>
      <c r="F844" s="71"/>
      <c r="G844" s="71"/>
      <c r="H844" s="71"/>
      <c r="I844" s="71"/>
      <c r="J844" s="71" t="s">
        <v>798</v>
      </c>
      <c r="K844" s="71" t="s">
        <v>798</v>
      </c>
      <c r="L844" s="71" t="s">
        <v>798</v>
      </c>
      <c r="M844" s="71" t="s">
        <v>298</v>
      </c>
      <c r="N844" s="419">
        <v>21.134050370000001</v>
      </c>
      <c r="O844" s="419">
        <v>92.323478699999995</v>
      </c>
      <c r="P844" s="71"/>
      <c r="Q844" s="71"/>
      <c r="R844" s="422"/>
      <c r="S844" s="100"/>
      <c r="T844" s="105">
        <v>43300</v>
      </c>
      <c r="U844" s="101"/>
      <c r="V844" s="71"/>
      <c r="W844" s="419"/>
      <c r="X844" s="542"/>
      <c r="Y844" s="542"/>
      <c r="Z844" s="542"/>
    </row>
    <row r="845" spans="1:26" ht="14.25" customHeight="1">
      <c r="A845" s="419" t="s">
        <v>2706</v>
      </c>
      <c r="B845" s="441" t="s">
        <v>309</v>
      </c>
      <c r="C845" s="440" t="s">
        <v>2110</v>
      </c>
      <c r="D845" s="472"/>
      <c r="E845" s="71">
        <v>220706</v>
      </c>
      <c r="F845" s="71"/>
      <c r="G845" s="71"/>
      <c r="H845" s="71"/>
      <c r="I845" s="71"/>
      <c r="J845" s="71" t="s">
        <v>798</v>
      </c>
      <c r="K845" s="71" t="s">
        <v>798</v>
      </c>
      <c r="L845" s="71" t="s">
        <v>798</v>
      </c>
      <c r="M845" s="71" t="s">
        <v>2094</v>
      </c>
      <c r="N845" s="419">
        <v>21.2600956</v>
      </c>
      <c r="O845" s="419">
        <v>92.278442380000001</v>
      </c>
      <c r="P845" s="71"/>
      <c r="Q845" s="71"/>
      <c r="R845" s="422"/>
      <c r="S845" s="100"/>
      <c r="T845" s="105">
        <v>43300</v>
      </c>
      <c r="U845" s="101"/>
      <c r="V845" s="542"/>
      <c r="W845" s="419"/>
      <c r="X845" s="542"/>
      <c r="Y845" s="542"/>
      <c r="Z845" s="542"/>
    </row>
    <row r="846" spans="1:26" ht="14.25" customHeight="1">
      <c r="A846" s="419" t="s">
        <v>2706</v>
      </c>
      <c r="B846" s="441" t="s">
        <v>309</v>
      </c>
      <c r="C846" s="440" t="s">
        <v>2109</v>
      </c>
      <c r="D846" s="472"/>
      <c r="E846" s="71">
        <v>220721</v>
      </c>
      <c r="F846" s="71"/>
      <c r="G846" s="71"/>
      <c r="H846" s="71"/>
      <c r="I846" s="71"/>
      <c r="J846" s="71" t="s">
        <v>798</v>
      </c>
      <c r="K846" s="71" t="s">
        <v>798</v>
      </c>
      <c r="L846" s="71" t="s">
        <v>798</v>
      </c>
      <c r="M846" s="71" t="s">
        <v>298</v>
      </c>
      <c r="N846" s="419">
        <v>21.224542620000001</v>
      </c>
      <c r="O846" s="419">
        <v>92.294197080000004</v>
      </c>
      <c r="P846" s="71"/>
      <c r="Q846" s="71"/>
      <c r="R846" s="422"/>
      <c r="S846" s="100"/>
      <c r="T846" s="105">
        <v>43300</v>
      </c>
      <c r="U846" s="101"/>
      <c r="V846" s="71"/>
      <c r="W846" s="419"/>
      <c r="X846" s="542"/>
      <c r="Y846" s="542"/>
      <c r="Z846" s="542"/>
    </row>
    <row r="847" spans="1:26" ht="14.25" customHeight="1">
      <c r="A847" s="419" t="s">
        <v>2706</v>
      </c>
      <c r="B847" s="446" t="s">
        <v>309</v>
      </c>
      <c r="C847" s="447" t="s">
        <v>332</v>
      </c>
      <c r="D847" s="421" t="s">
        <v>1654</v>
      </c>
      <c r="E847" s="419"/>
      <c r="F847" s="419"/>
      <c r="G847" s="419"/>
      <c r="H847" s="419"/>
      <c r="I847" s="419"/>
      <c r="J847" s="71" t="s">
        <v>798</v>
      </c>
      <c r="K847" s="71" t="s">
        <v>798</v>
      </c>
      <c r="L847" s="419" t="s">
        <v>798</v>
      </c>
      <c r="M847" s="419" t="s">
        <v>795</v>
      </c>
      <c r="N847" s="419"/>
      <c r="O847" s="419"/>
      <c r="P847" s="419" t="s">
        <v>799</v>
      </c>
      <c r="Q847" s="419" t="s">
        <v>780</v>
      </c>
      <c r="R847" s="430"/>
      <c r="S847" s="423"/>
      <c r="T847" s="442"/>
      <c r="U847" s="424"/>
      <c r="V847" s="413" t="s">
        <v>1117</v>
      </c>
      <c r="W847" s="419"/>
      <c r="X847" s="542"/>
      <c r="Y847" s="542"/>
      <c r="Z847" s="542"/>
    </row>
    <row r="848" spans="1:26" ht="14.25" customHeight="1">
      <c r="A848" s="419" t="s">
        <v>2706</v>
      </c>
      <c r="B848" s="566" t="s">
        <v>309</v>
      </c>
      <c r="C848" s="565" t="s">
        <v>333</v>
      </c>
      <c r="D848" s="472" t="s">
        <v>1654</v>
      </c>
      <c r="E848" s="419"/>
      <c r="F848" s="71"/>
      <c r="G848" s="71"/>
      <c r="H848" s="71"/>
      <c r="I848" s="71"/>
      <c r="J848" s="71" t="s">
        <v>798</v>
      </c>
      <c r="K848" s="419" t="s">
        <v>798</v>
      </c>
      <c r="L848" s="419" t="s">
        <v>798</v>
      </c>
      <c r="M848" s="71" t="s">
        <v>795</v>
      </c>
      <c r="N848" s="419"/>
      <c r="O848" s="419"/>
      <c r="P848" s="71" t="s">
        <v>799</v>
      </c>
      <c r="Q848" s="71" t="s">
        <v>780</v>
      </c>
      <c r="R848" s="548"/>
      <c r="S848" s="100"/>
      <c r="T848" s="105"/>
      <c r="U848" s="101"/>
      <c r="V848" s="413" t="s">
        <v>1118</v>
      </c>
      <c r="W848" s="419"/>
      <c r="X848" s="542"/>
      <c r="Y848" s="542"/>
      <c r="Z848" s="542"/>
    </row>
    <row r="849" spans="1:26" ht="14.25" customHeight="1">
      <c r="A849" s="419" t="s">
        <v>2706</v>
      </c>
      <c r="B849" s="446" t="s">
        <v>309</v>
      </c>
      <c r="C849" s="447" t="s">
        <v>2765</v>
      </c>
      <c r="D849" s="421"/>
      <c r="E849" s="71">
        <v>220725</v>
      </c>
      <c r="F849" s="71"/>
      <c r="G849" s="71"/>
      <c r="H849" s="71"/>
      <c r="I849" s="71"/>
      <c r="J849" s="71" t="s">
        <v>798</v>
      </c>
      <c r="K849" s="419" t="s">
        <v>798</v>
      </c>
      <c r="L849" s="419" t="s">
        <v>798</v>
      </c>
      <c r="M849" s="71" t="s">
        <v>683</v>
      </c>
      <c r="N849" s="71">
        <v>21.089906689999999</v>
      </c>
      <c r="O849" s="71">
        <v>92.341598509999997</v>
      </c>
      <c r="P849" s="71"/>
      <c r="Q849" s="71"/>
      <c r="R849" s="430"/>
      <c r="S849" s="423"/>
      <c r="T849" s="105">
        <v>43300</v>
      </c>
      <c r="U849" s="101"/>
      <c r="V849" s="71"/>
      <c r="W849" s="419"/>
      <c r="X849" s="542"/>
      <c r="Y849" s="542"/>
      <c r="Z849" s="542"/>
    </row>
    <row r="850" spans="1:26" ht="14.25" customHeight="1">
      <c r="A850" s="419" t="s">
        <v>2706</v>
      </c>
      <c r="B850" s="566" t="s">
        <v>309</v>
      </c>
      <c r="C850" s="565" t="s">
        <v>2764</v>
      </c>
      <c r="D850" s="472"/>
      <c r="E850" s="419">
        <v>220725</v>
      </c>
      <c r="F850" s="71"/>
      <c r="G850" s="71"/>
      <c r="H850" s="71"/>
      <c r="I850" s="71"/>
      <c r="J850" s="71" t="s">
        <v>798</v>
      </c>
      <c r="K850" s="419" t="s">
        <v>798</v>
      </c>
      <c r="L850" s="419" t="s">
        <v>798</v>
      </c>
      <c r="M850" s="71" t="s">
        <v>298</v>
      </c>
      <c r="N850" s="71">
        <v>21.089906689999999</v>
      </c>
      <c r="O850" s="71">
        <v>92.341598509999997</v>
      </c>
      <c r="P850" s="71"/>
      <c r="Q850" s="71"/>
      <c r="R850" s="548"/>
      <c r="S850" s="100"/>
      <c r="T850" s="105">
        <v>43300</v>
      </c>
      <c r="U850" s="101"/>
      <c r="V850" s="71"/>
      <c r="W850" s="419"/>
      <c r="X850" s="542"/>
      <c r="Y850" s="542"/>
      <c r="Z850" s="542"/>
    </row>
    <row r="851" spans="1:26" ht="14.25" customHeight="1">
      <c r="A851" s="419" t="s">
        <v>2706</v>
      </c>
      <c r="B851" s="566" t="s">
        <v>309</v>
      </c>
      <c r="C851" s="565" t="s">
        <v>334</v>
      </c>
      <c r="D851" s="472" t="s">
        <v>1654</v>
      </c>
      <c r="E851" s="71"/>
      <c r="F851" s="71"/>
      <c r="G851" s="71"/>
      <c r="H851" s="71"/>
      <c r="I851" s="71"/>
      <c r="J851" s="71" t="s">
        <v>798</v>
      </c>
      <c r="K851" s="419" t="s">
        <v>798</v>
      </c>
      <c r="L851" s="419" t="s">
        <v>798</v>
      </c>
      <c r="M851" s="71" t="s">
        <v>298</v>
      </c>
      <c r="N851" s="71"/>
      <c r="O851" s="71"/>
      <c r="P851" s="71" t="s">
        <v>799</v>
      </c>
      <c r="Q851" s="71" t="s">
        <v>780</v>
      </c>
      <c r="R851" s="548"/>
      <c r="S851" s="423"/>
      <c r="T851" s="105"/>
      <c r="U851" s="101"/>
      <c r="V851" s="413" t="s">
        <v>1119</v>
      </c>
      <c r="W851" s="419"/>
      <c r="X851" s="542"/>
      <c r="Y851" s="542"/>
      <c r="Z851" s="542"/>
    </row>
    <row r="852" spans="1:26" ht="14.25" customHeight="1">
      <c r="A852" s="419" t="s">
        <v>2706</v>
      </c>
      <c r="B852" s="566" t="s">
        <v>309</v>
      </c>
      <c r="C852" s="565" t="s">
        <v>2078</v>
      </c>
      <c r="D852" s="472"/>
      <c r="E852" s="71">
        <v>197978</v>
      </c>
      <c r="F852" s="71"/>
      <c r="G852" s="71"/>
      <c r="H852" s="71"/>
      <c r="I852" s="71"/>
      <c r="J852" s="71" t="s">
        <v>798</v>
      </c>
      <c r="K852" s="419" t="s">
        <v>798</v>
      </c>
      <c r="L852" s="71" t="s">
        <v>798</v>
      </c>
      <c r="M852" s="71" t="s">
        <v>795</v>
      </c>
      <c r="N852" s="71">
        <v>20.834230420000001</v>
      </c>
      <c r="O852" s="71">
        <v>92.37967682</v>
      </c>
      <c r="P852" s="71"/>
      <c r="Q852" s="71"/>
      <c r="R852" s="548"/>
      <c r="S852" s="423"/>
      <c r="T852" s="105">
        <v>43300</v>
      </c>
      <c r="U852" s="101"/>
      <c r="V852" s="71"/>
      <c r="W852" s="419"/>
      <c r="X852" s="542"/>
      <c r="Y852" s="542"/>
      <c r="Z852" s="542"/>
    </row>
    <row r="853" spans="1:26" ht="14.25" customHeight="1">
      <c r="A853" s="419" t="s">
        <v>2706</v>
      </c>
      <c r="B853" s="577" t="s">
        <v>309</v>
      </c>
      <c r="C853" s="578" t="s">
        <v>632</v>
      </c>
      <c r="D853" s="547" t="s">
        <v>1654</v>
      </c>
      <c r="E853" s="71" t="s">
        <v>1397</v>
      </c>
      <c r="F853" s="71"/>
      <c r="G853" s="71"/>
      <c r="H853" s="71" t="s">
        <v>42</v>
      </c>
      <c r="I853" s="71"/>
      <c r="J853" s="71" t="s">
        <v>798</v>
      </c>
      <c r="K853" s="419" t="s">
        <v>798</v>
      </c>
      <c r="L853" s="419" t="s">
        <v>1654</v>
      </c>
      <c r="M853" s="71" t="s">
        <v>795</v>
      </c>
      <c r="N853" s="419">
        <v>20.827044000000001</v>
      </c>
      <c r="O853" s="419">
        <v>92.362932999999998</v>
      </c>
      <c r="P853" s="71" t="s">
        <v>761</v>
      </c>
      <c r="Q853" s="71" t="s">
        <v>780</v>
      </c>
      <c r="R853" s="556"/>
      <c r="S853" s="423"/>
      <c r="T853" s="105">
        <v>43248</v>
      </c>
      <c r="U853" s="101" t="s">
        <v>1901</v>
      </c>
      <c r="V853" s="71"/>
      <c r="W853" s="419"/>
      <c r="X853" s="542"/>
      <c r="Y853" s="542"/>
      <c r="Z853" s="542"/>
    </row>
    <row r="854" spans="1:26" ht="14.25" customHeight="1">
      <c r="A854" s="419" t="s">
        <v>2706</v>
      </c>
      <c r="B854" s="577" t="s">
        <v>309</v>
      </c>
      <c r="C854" s="447" t="s">
        <v>335</v>
      </c>
      <c r="D854" s="421" t="s">
        <v>1654</v>
      </c>
      <c r="E854" s="542"/>
      <c r="F854" s="542"/>
      <c r="G854" s="542"/>
      <c r="H854" s="542"/>
      <c r="I854" s="542"/>
      <c r="J854" s="542" t="s">
        <v>798</v>
      </c>
      <c r="K854" s="542" t="s">
        <v>798</v>
      </c>
      <c r="L854" s="542" t="s">
        <v>798</v>
      </c>
      <c r="M854" s="542" t="s">
        <v>795</v>
      </c>
      <c r="N854" s="542"/>
      <c r="O854" s="542"/>
      <c r="P854" s="542" t="s">
        <v>799</v>
      </c>
      <c r="Q854" s="542" t="s">
        <v>780</v>
      </c>
      <c r="R854" s="556"/>
      <c r="S854" s="549"/>
      <c r="T854" s="568"/>
      <c r="U854" s="550"/>
      <c r="V854" s="542" t="s">
        <v>335</v>
      </c>
      <c r="W854" s="419"/>
      <c r="X854" s="542"/>
      <c r="Y854" s="542"/>
      <c r="Z854" s="542"/>
    </row>
    <row r="855" spans="1:26" ht="14.25" customHeight="1">
      <c r="A855" s="419" t="s">
        <v>2706</v>
      </c>
      <c r="B855" s="446" t="s">
        <v>309</v>
      </c>
      <c r="C855" s="447" t="s">
        <v>336</v>
      </c>
      <c r="D855" s="421" t="s">
        <v>1654</v>
      </c>
      <c r="E855" s="419"/>
      <c r="F855" s="419"/>
      <c r="G855" s="419"/>
      <c r="H855" s="419"/>
      <c r="I855" s="419"/>
      <c r="J855" s="419" t="s">
        <v>798</v>
      </c>
      <c r="K855" s="419" t="s">
        <v>798</v>
      </c>
      <c r="L855" s="419" t="s">
        <v>798</v>
      </c>
      <c r="M855" s="419" t="s">
        <v>795</v>
      </c>
      <c r="N855" s="419"/>
      <c r="O855" s="419"/>
      <c r="P855" s="419" t="s">
        <v>799</v>
      </c>
      <c r="Q855" s="419" t="s">
        <v>780</v>
      </c>
      <c r="R855" s="430"/>
      <c r="S855" s="423"/>
      <c r="T855" s="442"/>
      <c r="U855" s="424"/>
      <c r="V855" s="419" t="s">
        <v>336</v>
      </c>
      <c r="W855" s="419"/>
      <c r="X855" s="542"/>
      <c r="Y855" s="542"/>
      <c r="Z855" s="542"/>
    </row>
    <row r="856" spans="1:26" ht="14.25" customHeight="1">
      <c r="A856" s="419" t="s">
        <v>2706</v>
      </c>
      <c r="B856" s="577" t="s">
        <v>309</v>
      </c>
      <c r="C856" s="578" t="s">
        <v>2113</v>
      </c>
      <c r="D856" s="547"/>
      <c r="E856" s="419">
        <v>197894</v>
      </c>
      <c r="F856" s="419"/>
      <c r="G856" s="419"/>
      <c r="H856" s="419"/>
      <c r="I856" s="419"/>
      <c r="J856" s="419" t="s">
        <v>798</v>
      </c>
      <c r="K856" s="419" t="s">
        <v>798</v>
      </c>
      <c r="L856" s="419" t="s">
        <v>798</v>
      </c>
      <c r="M856" s="419" t="s">
        <v>298</v>
      </c>
      <c r="N856" s="419">
        <v>21.025550840000001</v>
      </c>
      <c r="O856" s="419">
        <v>92.29528809</v>
      </c>
      <c r="P856" s="419"/>
      <c r="Q856" s="419"/>
      <c r="R856" s="556"/>
      <c r="S856" s="423"/>
      <c r="T856" s="442">
        <v>43300</v>
      </c>
      <c r="U856" s="424"/>
      <c r="V856" s="419"/>
      <c r="W856" s="419"/>
      <c r="X856" s="542"/>
      <c r="Y856" s="542"/>
      <c r="Z856" s="542"/>
    </row>
    <row r="857" spans="1:26" ht="14.25" customHeight="1">
      <c r="A857" s="419" t="s">
        <v>2706</v>
      </c>
      <c r="B857" s="446" t="s">
        <v>309</v>
      </c>
      <c r="C857" s="447" t="s">
        <v>681</v>
      </c>
      <c r="D857" s="421" t="s">
        <v>1654</v>
      </c>
      <c r="E857" s="419">
        <v>197894</v>
      </c>
      <c r="F857" s="419"/>
      <c r="G857" s="419"/>
      <c r="H857" s="419"/>
      <c r="I857" s="419"/>
      <c r="J857" s="419" t="s">
        <v>798</v>
      </c>
      <c r="K857" s="419" t="s">
        <v>798</v>
      </c>
      <c r="L857" s="419" t="s">
        <v>798</v>
      </c>
      <c r="M857" s="419" t="s">
        <v>795</v>
      </c>
      <c r="N857" s="419">
        <v>21.025550840000001</v>
      </c>
      <c r="O857" s="419">
        <v>92.29528809</v>
      </c>
      <c r="P857" s="419" t="s">
        <v>799</v>
      </c>
      <c r="Q857" s="419" t="s">
        <v>780</v>
      </c>
      <c r="R857" s="430"/>
      <c r="S857" s="423"/>
      <c r="T857" s="442">
        <v>42745</v>
      </c>
      <c r="U857" s="424"/>
      <c r="V857" s="419" t="s">
        <v>955</v>
      </c>
      <c r="W857" s="419"/>
      <c r="X857" s="542"/>
      <c r="Y857" s="542"/>
      <c r="Z857" s="542"/>
    </row>
    <row r="858" spans="1:26" ht="14.25" customHeight="1">
      <c r="A858" s="419" t="s">
        <v>2706</v>
      </c>
      <c r="B858" s="577" t="s">
        <v>309</v>
      </c>
      <c r="C858" s="553" t="s">
        <v>2114</v>
      </c>
      <c r="D858" s="547"/>
      <c r="E858" s="419">
        <v>197895</v>
      </c>
      <c r="F858" s="71"/>
      <c r="G858" s="71"/>
      <c r="H858" s="71"/>
      <c r="I858" s="71"/>
      <c r="J858" s="71" t="s">
        <v>798</v>
      </c>
      <c r="K858" s="419" t="s">
        <v>798</v>
      </c>
      <c r="L858" s="419" t="s">
        <v>798</v>
      </c>
      <c r="M858" s="71" t="s">
        <v>795</v>
      </c>
      <c r="N858" s="71">
        <v>21.019170760000002</v>
      </c>
      <c r="O858" s="419">
        <v>92.291992190000002</v>
      </c>
      <c r="P858" s="71"/>
      <c r="Q858" s="71"/>
      <c r="R858" s="556"/>
      <c r="S858" s="100"/>
      <c r="T858" s="105">
        <v>43300</v>
      </c>
      <c r="U858" s="101"/>
      <c r="V858" s="71"/>
      <c r="W858" s="419"/>
      <c r="X858" s="542"/>
      <c r="Y858" s="542"/>
      <c r="Z858" s="542"/>
    </row>
    <row r="859" spans="1:26" s="71" customFormat="1" ht="14.25" customHeight="1">
      <c r="A859" s="419" t="s">
        <v>2706</v>
      </c>
      <c r="B859" s="566" t="s">
        <v>309</v>
      </c>
      <c r="C859" s="565" t="s">
        <v>2076</v>
      </c>
      <c r="D859" s="472"/>
      <c r="E859" s="71">
        <v>197909</v>
      </c>
      <c r="J859" s="71" t="s">
        <v>798</v>
      </c>
      <c r="K859" s="419" t="s">
        <v>798</v>
      </c>
      <c r="L859" s="419" t="s">
        <v>798</v>
      </c>
      <c r="M859" s="71" t="s">
        <v>795</v>
      </c>
      <c r="N859" s="71">
        <v>21.003770830000001</v>
      </c>
      <c r="O859" s="71">
        <v>92.351142879999998</v>
      </c>
      <c r="R859" s="422"/>
      <c r="S859" s="423"/>
      <c r="T859" s="105">
        <v>43300</v>
      </c>
      <c r="U859" s="101"/>
      <c r="W859" s="419"/>
      <c r="X859" s="542"/>
      <c r="Y859" s="542"/>
      <c r="Z859" s="542"/>
    </row>
    <row r="860" spans="1:26" ht="14.25" customHeight="1">
      <c r="A860" s="419" t="s">
        <v>2706</v>
      </c>
      <c r="B860" s="188" t="s">
        <v>309</v>
      </c>
      <c r="C860" s="447" t="s">
        <v>676</v>
      </c>
      <c r="D860" s="421" t="s">
        <v>1654</v>
      </c>
      <c r="E860" s="594">
        <v>197910</v>
      </c>
      <c r="F860" s="183"/>
      <c r="G860" s="183"/>
      <c r="H860" s="183"/>
      <c r="I860" s="183"/>
      <c r="J860" s="183" t="s">
        <v>798</v>
      </c>
      <c r="K860" s="183" t="s">
        <v>798</v>
      </c>
      <c r="L860" s="183" t="s">
        <v>798</v>
      </c>
      <c r="M860" s="183" t="s">
        <v>298</v>
      </c>
      <c r="N860" s="183">
        <v>21.007270810000001</v>
      </c>
      <c r="O860" s="183">
        <v>92.358520510000005</v>
      </c>
      <c r="P860" s="183" t="s">
        <v>799</v>
      </c>
      <c r="Q860" s="183" t="s">
        <v>802</v>
      </c>
      <c r="R860" s="184"/>
      <c r="S860" s="182"/>
      <c r="T860" s="185">
        <v>42926</v>
      </c>
      <c r="U860" s="186" t="s">
        <v>803</v>
      </c>
      <c r="V860" s="183"/>
      <c r="W860" s="419"/>
      <c r="X860" s="542"/>
      <c r="Y860" s="542"/>
      <c r="Z860" s="542"/>
    </row>
    <row r="861" spans="1:26" ht="14.25" customHeight="1">
      <c r="A861" s="419" t="s">
        <v>2706</v>
      </c>
      <c r="B861" s="577" t="s">
        <v>309</v>
      </c>
      <c r="C861" s="578" t="s">
        <v>2075</v>
      </c>
      <c r="D861" s="421"/>
      <c r="E861" s="419">
        <v>197874</v>
      </c>
      <c r="F861" s="419"/>
      <c r="G861" s="71"/>
      <c r="H861" s="542"/>
      <c r="I861" s="71"/>
      <c r="J861" s="71" t="s">
        <v>798</v>
      </c>
      <c r="K861" s="419" t="s">
        <v>798</v>
      </c>
      <c r="L861" s="419" t="s">
        <v>798</v>
      </c>
      <c r="M861" s="71" t="s">
        <v>795</v>
      </c>
      <c r="N861" s="419">
        <v>21.035009380000002</v>
      </c>
      <c r="O861" s="419">
        <v>92.332046509999998</v>
      </c>
      <c r="P861" s="71"/>
      <c r="Q861" s="542"/>
      <c r="R861" s="556"/>
      <c r="S861" s="423"/>
      <c r="T861" s="568">
        <v>43300</v>
      </c>
      <c r="U861" s="101"/>
      <c r="V861" s="71"/>
      <c r="W861" s="419"/>
      <c r="X861" s="542"/>
      <c r="Y861" s="542"/>
      <c r="Z861" s="542"/>
    </row>
    <row r="862" spans="1:26" ht="14.25" customHeight="1">
      <c r="A862" s="419" t="s">
        <v>2706</v>
      </c>
      <c r="B862" s="566" t="s">
        <v>309</v>
      </c>
      <c r="C862" s="565" t="s">
        <v>521</v>
      </c>
      <c r="D862" s="472" t="s">
        <v>1654</v>
      </c>
      <c r="E862" s="71"/>
      <c r="F862" s="419"/>
      <c r="G862" s="71"/>
      <c r="H862" s="71"/>
      <c r="I862" s="71"/>
      <c r="J862" s="71" t="s">
        <v>798</v>
      </c>
      <c r="K862" s="419" t="s">
        <v>798</v>
      </c>
      <c r="L862" s="419" t="s">
        <v>798</v>
      </c>
      <c r="M862" s="71" t="s">
        <v>298</v>
      </c>
      <c r="N862" s="419">
        <v>20.651159289999999</v>
      </c>
      <c r="O862" s="419">
        <v>92.605712890000007</v>
      </c>
      <c r="P862" s="71" t="s">
        <v>799</v>
      </c>
      <c r="Q862" s="71" t="s">
        <v>780</v>
      </c>
      <c r="R862" s="548"/>
      <c r="S862" s="100"/>
      <c r="T862" s="105"/>
      <c r="U862" s="101"/>
      <c r="V862" s="71" t="s">
        <v>521</v>
      </c>
      <c r="W862" s="419"/>
      <c r="X862" s="542"/>
      <c r="Y862" s="542"/>
      <c r="Z862" s="542"/>
    </row>
    <row r="863" spans="1:26" ht="14.25" customHeight="1">
      <c r="A863" s="419" t="s">
        <v>2706</v>
      </c>
      <c r="B863" s="577" t="s">
        <v>309</v>
      </c>
      <c r="C863" s="447" t="s">
        <v>598</v>
      </c>
      <c r="D863" s="421" t="s">
        <v>1654</v>
      </c>
      <c r="E863" s="542">
        <v>197999</v>
      </c>
      <c r="F863" s="542"/>
      <c r="G863" s="542"/>
      <c r="H863" s="542"/>
      <c r="I863" s="542"/>
      <c r="J863" s="542" t="s">
        <v>798</v>
      </c>
      <c r="K863" s="542" t="s">
        <v>798</v>
      </c>
      <c r="L863" s="542" t="s">
        <v>798</v>
      </c>
      <c r="M863" s="542" t="s">
        <v>795</v>
      </c>
      <c r="N863" s="542">
        <v>20.785320280000001</v>
      </c>
      <c r="O863" s="542">
        <v>92.406509400000004</v>
      </c>
      <c r="P863" s="542" t="s">
        <v>799</v>
      </c>
      <c r="Q863" s="542" t="s">
        <v>780</v>
      </c>
      <c r="R863" s="556"/>
      <c r="S863" s="549"/>
      <c r="T863" s="568"/>
      <c r="U863" s="550"/>
      <c r="V863" s="542" t="s">
        <v>598</v>
      </c>
      <c r="W863" s="419"/>
      <c r="X863" s="542"/>
      <c r="Y863" s="542"/>
      <c r="Z863" s="542"/>
    </row>
    <row r="864" spans="1:26" ht="14.25" customHeight="1">
      <c r="A864" s="419" t="s">
        <v>2706</v>
      </c>
      <c r="B864" s="566" t="s">
        <v>309</v>
      </c>
      <c r="C864" s="565" t="s">
        <v>548</v>
      </c>
      <c r="D864" s="472"/>
      <c r="E864" s="71">
        <v>197993</v>
      </c>
      <c r="F864" s="71" t="s">
        <v>548</v>
      </c>
      <c r="G864" s="71"/>
      <c r="H864" s="71"/>
      <c r="I864" s="71"/>
      <c r="J864" s="71" t="s">
        <v>798</v>
      </c>
      <c r="K864" s="71" t="s">
        <v>798</v>
      </c>
      <c r="L864" s="419" t="s">
        <v>798</v>
      </c>
      <c r="M864" s="71" t="s">
        <v>795</v>
      </c>
      <c r="N864" s="419">
        <v>20.809099199999999</v>
      </c>
      <c r="O864" s="419">
        <v>92.39829254</v>
      </c>
      <c r="P864" s="71"/>
      <c r="Q864" s="71"/>
      <c r="R864" s="548"/>
      <c r="S864" s="100"/>
      <c r="T864" s="105">
        <v>43300</v>
      </c>
      <c r="U864" s="101"/>
      <c r="V864" s="71"/>
      <c r="W864" s="419"/>
      <c r="X864" s="542"/>
      <c r="Y864" s="542"/>
      <c r="Z864" s="542"/>
    </row>
    <row r="865" spans="1:26" ht="14.25" customHeight="1">
      <c r="A865" s="419" t="s">
        <v>2706</v>
      </c>
      <c r="B865" s="446" t="s">
        <v>309</v>
      </c>
      <c r="C865" s="447" t="s">
        <v>479</v>
      </c>
      <c r="D865" s="421" t="s">
        <v>2313</v>
      </c>
      <c r="E865" s="71" t="s">
        <v>1395</v>
      </c>
      <c r="F865" s="551" t="s">
        <v>1751</v>
      </c>
      <c r="G865" s="71" t="s">
        <v>1751</v>
      </c>
      <c r="H865" s="71" t="s">
        <v>42</v>
      </c>
      <c r="I865" s="71"/>
      <c r="J865" s="71" t="s">
        <v>798</v>
      </c>
      <c r="K865" s="419" t="s">
        <v>798</v>
      </c>
      <c r="L865" s="419" t="s">
        <v>883</v>
      </c>
      <c r="M865" s="71" t="s">
        <v>298</v>
      </c>
      <c r="N865" s="419">
        <v>20.824777999999998</v>
      </c>
      <c r="O865" s="419">
        <v>92.362196999999995</v>
      </c>
      <c r="P865" s="71" t="s">
        <v>799</v>
      </c>
      <c r="Q865" s="71"/>
      <c r="R865" s="548">
        <v>17</v>
      </c>
      <c r="S865" s="100">
        <v>109</v>
      </c>
      <c r="T865" s="105"/>
      <c r="U865" s="101" t="s">
        <v>860</v>
      </c>
      <c r="V865" s="71" t="s">
        <v>479</v>
      </c>
      <c r="W865" s="419"/>
      <c r="X865" s="542"/>
      <c r="Y865" s="542"/>
      <c r="Z865" s="542"/>
    </row>
    <row r="866" spans="1:26" ht="14.25" customHeight="1">
      <c r="A866" s="419" t="s">
        <v>2706</v>
      </c>
      <c r="B866" s="577" t="s">
        <v>309</v>
      </c>
      <c r="C866" s="578" t="s">
        <v>2103</v>
      </c>
      <c r="D866" s="547"/>
      <c r="E866" s="546">
        <v>197858</v>
      </c>
      <c r="F866" s="419"/>
      <c r="G866" s="71"/>
      <c r="H866" s="71"/>
      <c r="I866" s="71"/>
      <c r="J866" s="71" t="s">
        <v>798</v>
      </c>
      <c r="K866" s="419" t="s">
        <v>798</v>
      </c>
      <c r="L866" s="419" t="s">
        <v>798</v>
      </c>
      <c r="M866" s="71" t="s">
        <v>2090</v>
      </c>
      <c r="N866" s="542">
        <v>21.160549159999999</v>
      </c>
      <c r="O866" s="542">
        <v>92.330261230000005</v>
      </c>
      <c r="P866" s="71"/>
      <c r="Q866" s="71"/>
      <c r="R866" s="556"/>
      <c r="S866" s="423"/>
      <c r="T866" s="105">
        <v>43300</v>
      </c>
      <c r="U866" s="101"/>
      <c r="V866" s="71"/>
      <c r="W866" s="419"/>
      <c r="X866" s="542"/>
      <c r="Y866" s="542"/>
      <c r="Z866" s="542"/>
    </row>
    <row r="867" spans="1:26" ht="14.25" customHeight="1">
      <c r="A867" s="419" t="s">
        <v>2706</v>
      </c>
      <c r="B867" s="441" t="s">
        <v>309</v>
      </c>
      <c r="C867" s="440" t="s">
        <v>2065</v>
      </c>
      <c r="D867" s="547"/>
      <c r="E867" s="395">
        <v>197996</v>
      </c>
      <c r="F867" s="419"/>
      <c r="G867" s="419"/>
      <c r="H867" s="549"/>
      <c r="I867" s="419"/>
      <c r="J867" s="419" t="s">
        <v>798</v>
      </c>
      <c r="K867" s="419" t="s">
        <v>798</v>
      </c>
      <c r="L867" s="419" t="s">
        <v>798</v>
      </c>
      <c r="M867" s="395" t="s">
        <v>795</v>
      </c>
      <c r="N867" s="395">
        <v>20.805980680000001</v>
      </c>
      <c r="O867" s="395">
        <v>92.383308409999998</v>
      </c>
      <c r="P867" s="395"/>
      <c r="Q867" s="546"/>
      <c r="R867" s="422"/>
      <c r="S867" s="423"/>
      <c r="T867" s="569">
        <v>43300</v>
      </c>
      <c r="U867" s="424"/>
      <c r="V867" s="395"/>
      <c r="W867" s="419"/>
      <c r="X867" s="542"/>
      <c r="Y867" s="542"/>
      <c r="Z867" s="542"/>
    </row>
    <row r="868" spans="1:26" ht="14.25" customHeight="1">
      <c r="A868" s="419" t="s">
        <v>2706</v>
      </c>
      <c r="B868" s="446" t="s">
        <v>309</v>
      </c>
      <c r="C868" s="447" t="s">
        <v>1906</v>
      </c>
      <c r="D868" s="421"/>
      <c r="E868" s="395">
        <v>197971</v>
      </c>
      <c r="F868" s="419" t="s">
        <v>1906</v>
      </c>
      <c r="G868" s="419"/>
      <c r="H868" s="419"/>
      <c r="I868" s="419"/>
      <c r="J868" s="419" t="s">
        <v>798</v>
      </c>
      <c r="K868" s="419" t="s">
        <v>798</v>
      </c>
      <c r="L868" s="419" t="s">
        <v>798</v>
      </c>
      <c r="M868" s="395" t="s">
        <v>795</v>
      </c>
      <c r="N868" s="395">
        <v>20.872400280000001</v>
      </c>
      <c r="O868" s="419">
        <v>92.337608340000003</v>
      </c>
      <c r="P868" s="395" t="s">
        <v>799</v>
      </c>
      <c r="Q868" s="419" t="s">
        <v>1908</v>
      </c>
      <c r="R868" s="430"/>
      <c r="S868" s="423"/>
      <c r="T868" s="442">
        <v>43245</v>
      </c>
      <c r="U868" s="424"/>
      <c r="V868" s="395"/>
      <c r="W868" s="419"/>
      <c r="X868" s="542"/>
      <c r="Y868" s="542"/>
      <c r="Z868" s="542"/>
    </row>
    <row r="869" spans="1:26" ht="14.25" customHeight="1">
      <c r="A869" s="419" t="s">
        <v>2706</v>
      </c>
      <c r="B869" s="188" t="s">
        <v>309</v>
      </c>
      <c r="C869" s="447" t="s">
        <v>339</v>
      </c>
      <c r="D869" s="421" t="s">
        <v>1654</v>
      </c>
      <c r="E869" s="183"/>
      <c r="F869" s="183"/>
      <c r="G869" s="183"/>
      <c r="H869" s="183"/>
      <c r="I869" s="183"/>
      <c r="J869" s="183" t="s">
        <v>798</v>
      </c>
      <c r="K869" s="183" t="s">
        <v>798</v>
      </c>
      <c r="L869" s="183" t="s">
        <v>798</v>
      </c>
      <c r="M869" s="183" t="s">
        <v>795</v>
      </c>
      <c r="N869" s="572"/>
      <c r="O869" s="572"/>
      <c r="P869" s="183" t="s">
        <v>799</v>
      </c>
      <c r="Q869" s="183" t="s">
        <v>780</v>
      </c>
      <c r="R869" s="184"/>
      <c r="S869" s="182"/>
      <c r="T869" s="185"/>
      <c r="U869" s="186"/>
      <c r="V869" s="183" t="s">
        <v>339</v>
      </c>
      <c r="W869" s="419"/>
      <c r="X869" s="542"/>
      <c r="Y869" s="542"/>
      <c r="Z869" s="542"/>
    </row>
    <row r="870" spans="1:26" ht="14.25" customHeight="1">
      <c r="A870" s="419" t="s">
        <v>2706</v>
      </c>
      <c r="B870" s="577" t="s">
        <v>309</v>
      </c>
      <c r="C870" s="578" t="s">
        <v>603</v>
      </c>
      <c r="D870" s="547" t="s">
        <v>1654</v>
      </c>
      <c r="E870" s="419">
        <v>198000</v>
      </c>
      <c r="F870" s="419"/>
      <c r="G870" s="419"/>
      <c r="H870" s="419"/>
      <c r="I870" s="419"/>
      <c r="J870" s="395" t="s">
        <v>798</v>
      </c>
      <c r="K870" s="395" t="s">
        <v>798</v>
      </c>
      <c r="L870" s="395" t="s">
        <v>798</v>
      </c>
      <c r="M870" s="419" t="s">
        <v>795</v>
      </c>
      <c r="N870" s="419">
        <v>20.788669590000001</v>
      </c>
      <c r="O870" s="419">
        <v>92.397300720000004</v>
      </c>
      <c r="P870" s="395" t="s">
        <v>799</v>
      </c>
      <c r="Q870" s="419" t="s">
        <v>780</v>
      </c>
      <c r="R870" s="556"/>
      <c r="S870" s="423"/>
      <c r="T870" s="442"/>
      <c r="U870" s="424"/>
      <c r="V870" s="419" t="s">
        <v>603</v>
      </c>
      <c r="W870" s="419"/>
      <c r="X870" s="542"/>
      <c r="Y870" s="542"/>
      <c r="Z870" s="542"/>
    </row>
    <row r="871" spans="1:26" ht="14.25" customHeight="1">
      <c r="A871" s="419" t="s">
        <v>2706</v>
      </c>
      <c r="B871" s="446" t="s">
        <v>309</v>
      </c>
      <c r="C871" s="447" t="s">
        <v>2058</v>
      </c>
      <c r="D871" s="421"/>
      <c r="E871" s="395">
        <v>197972</v>
      </c>
      <c r="F871" s="546"/>
      <c r="G871" s="395"/>
      <c r="H871" s="395"/>
      <c r="I871" s="395"/>
      <c r="J871" s="395" t="s">
        <v>798</v>
      </c>
      <c r="K871" s="419" t="s">
        <v>798</v>
      </c>
      <c r="L871" s="419" t="s">
        <v>798</v>
      </c>
      <c r="M871" s="395" t="s">
        <v>795</v>
      </c>
      <c r="N871" s="395">
        <v>20.879430769999999</v>
      </c>
      <c r="O871" s="419">
        <v>92.334373470000003</v>
      </c>
      <c r="P871" s="395"/>
      <c r="Q871" s="395"/>
      <c r="R871" s="556"/>
      <c r="S871" s="549"/>
      <c r="T871" s="398">
        <v>43300</v>
      </c>
      <c r="U871" s="397"/>
      <c r="V871" s="395"/>
      <c r="W871" s="419"/>
      <c r="X871" s="542"/>
      <c r="Y871" s="542"/>
      <c r="Z871" s="542"/>
    </row>
    <row r="872" spans="1:26" ht="14.25" customHeight="1">
      <c r="A872" s="419" t="s">
        <v>2706</v>
      </c>
      <c r="B872" s="566" t="s">
        <v>309</v>
      </c>
      <c r="C872" s="565" t="s">
        <v>298</v>
      </c>
      <c r="D872" s="472" t="s">
        <v>1654</v>
      </c>
      <c r="E872" s="542"/>
      <c r="F872" s="542"/>
      <c r="G872" s="542"/>
      <c r="H872" s="542"/>
      <c r="I872" s="542"/>
      <c r="J872" s="542" t="s">
        <v>798</v>
      </c>
      <c r="K872" s="542" t="s">
        <v>798</v>
      </c>
      <c r="L872" s="542" t="s">
        <v>798</v>
      </c>
      <c r="M872" s="542" t="s">
        <v>298</v>
      </c>
      <c r="N872" s="560"/>
      <c r="O872" s="560"/>
      <c r="P872" s="542" t="s">
        <v>799</v>
      </c>
      <c r="Q872" s="542" t="s">
        <v>780</v>
      </c>
      <c r="R872" s="548"/>
      <c r="S872" s="549"/>
      <c r="T872" s="568"/>
      <c r="U872" s="550"/>
      <c r="V872" s="542" t="s">
        <v>298</v>
      </c>
      <c r="W872" s="419"/>
      <c r="X872" s="542"/>
      <c r="Y872" s="542"/>
      <c r="Z872" s="542"/>
    </row>
    <row r="873" spans="1:26" ht="14.25" customHeight="1">
      <c r="A873" s="419" t="s">
        <v>2706</v>
      </c>
      <c r="B873" s="566" t="s">
        <v>309</v>
      </c>
      <c r="C873" s="565" t="s">
        <v>344</v>
      </c>
      <c r="D873" s="472" t="s">
        <v>1654</v>
      </c>
      <c r="E873" s="395"/>
      <c r="F873" s="395"/>
      <c r="G873" s="395"/>
      <c r="H873" s="395"/>
      <c r="I873" s="395"/>
      <c r="J873" s="395" t="s">
        <v>798</v>
      </c>
      <c r="K873" s="395" t="s">
        <v>798</v>
      </c>
      <c r="L873" s="395" t="s">
        <v>798</v>
      </c>
      <c r="M873" s="395" t="s">
        <v>298</v>
      </c>
      <c r="N873" s="395"/>
      <c r="O873" s="395"/>
      <c r="P873" s="395" t="s">
        <v>799</v>
      </c>
      <c r="Q873" s="395" t="s">
        <v>780</v>
      </c>
      <c r="R873" s="548"/>
      <c r="S873" s="423"/>
      <c r="T873" s="398"/>
      <c r="U873" s="397"/>
      <c r="V873" s="395"/>
      <c r="W873" s="419"/>
      <c r="X873" s="542"/>
      <c r="Y873" s="542"/>
      <c r="Z873" s="542"/>
    </row>
    <row r="874" spans="1:26" ht="14.25" customHeight="1">
      <c r="A874" s="419" t="s">
        <v>2706</v>
      </c>
      <c r="B874" s="577" t="s">
        <v>309</v>
      </c>
      <c r="C874" s="578" t="s">
        <v>1135</v>
      </c>
      <c r="D874" s="547" t="s">
        <v>1654</v>
      </c>
      <c r="E874" s="395"/>
      <c r="F874" s="419"/>
      <c r="G874" s="395"/>
      <c r="H874" s="395"/>
      <c r="I874" s="395"/>
      <c r="J874" s="395" t="s">
        <v>798</v>
      </c>
      <c r="K874" s="395" t="s">
        <v>798</v>
      </c>
      <c r="L874" s="395" t="s">
        <v>798</v>
      </c>
      <c r="M874" s="395" t="s">
        <v>795</v>
      </c>
      <c r="N874" s="395"/>
      <c r="O874" s="395"/>
      <c r="P874" s="395" t="s">
        <v>799</v>
      </c>
      <c r="Q874" s="395"/>
      <c r="R874" s="556"/>
      <c r="S874" s="423"/>
      <c r="T874" s="398"/>
      <c r="U874" s="397"/>
      <c r="V874" s="395" t="s">
        <v>344</v>
      </c>
      <c r="W874" s="419"/>
      <c r="X874" s="542"/>
      <c r="Y874" s="542"/>
      <c r="Z874" s="542"/>
    </row>
    <row r="875" spans="1:26" ht="14.25" customHeight="1">
      <c r="A875" s="419" t="s">
        <v>2706</v>
      </c>
      <c r="B875" s="577" t="s">
        <v>309</v>
      </c>
      <c r="C875" s="578" t="s">
        <v>345</v>
      </c>
      <c r="D875" s="547" t="s">
        <v>1654</v>
      </c>
      <c r="E875" s="395"/>
      <c r="F875" s="419"/>
      <c r="G875" s="395"/>
      <c r="H875" s="395"/>
      <c r="I875" s="395"/>
      <c r="J875" s="395" t="s">
        <v>798</v>
      </c>
      <c r="K875" s="395" t="s">
        <v>798</v>
      </c>
      <c r="L875" s="395" t="s">
        <v>798</v>
      </c>
      <c r="M875" s="395" t="s">
        <v>298</v>
      </c>
      <c r="N875" s="395"/>
      <c r="O875" s="395"/>
      <c r="P875" s="395" t="s">
        <v>799</v>
      </c>
      <c r="Q875" s="395" t="s">
        <v>780</v>
      </c>
      <c r="R875" s="556"/>
      <c r="S875" s="423"/>
      <c r="T875" s="398"/>
      <c r="U875" s="397"/>
      <c r="V875" s="395" t="s">
        <v>344</v>
      </c>
      <c r="W875" s="419"/>
      <c r="X875" s="542"/>
      <c r="Y875" s="542"/>
      <c r="Z875" s="542"/>
    </row>
    <row r="876" spans="1:26" ht="14.25" customHeight="1">
      <c r="A876" s="419" t="s">
        <v>2706</v>
      </c>
      <c r="B876" s="441" t="s">
        <v>309</v>
      </c>
      <c r="C876" s="440" t="s">
        <v>346</v>
      </c>
      <c r="D876" s="472" t="s">
        <v>1654</v>
      </c>
      <c r="E876" s="395"/>
      <c r="F876" s="419"/>
      <c r="G876" s="395"/>
      <c r="H876" s="395"/>
      <c r="I876" s="395"/>
      <c r="J876" s="395" t="s">
        <v>798</v>
      </c>
      <c r="K876" s="419" t="s">
        <v>798</v>
      </c>
      <c r="L876" s="419" t="s">
        <v>798</v>
      </c>
      <c r="M876" s="395" t="s">
        <v>795</v>
      </c>
      <c r="N876" s="395"/>
      <c r="O876" s="395"/>
      <c r="P876" s="395" t="s">
        <v>799</v>
      </c>
      <c r="Q876" s="395" t="s">
        <v>780</v>
      </c>
      <c r="R876" s="422"/>
      <c r="S876" s="423"/>
      <c r="T876" s="398"/>
      <c r="U876" s="397"/>
      <c r="V876" s="395" t="s">
        <v>346</v>
      </c>
      <c r="W876" s="419"/>
      <c r="X876" s="542"/>
      <c r="Y876" s="542"/>
      <c r="Z876" s="542"/>
    </row>
    <row r="877" spans="1:26" ht="14.25" customHeight="1">
      <c r="A877" s="419" t="s">
        <v>2706</v>
      </c>
      <c r="B877" s="446" t="s">
        <v>309</v>
      </c>
      <c r="C877" s="447" t="s">
        <v>2081</v>
      </c>
      <c r="D877" s="421"/>
      <c r="E877" s="419">
        <v>197897</v>
      </c>
      <c r="F877" s="419"/>
      <c r="G877" s="419"/>
      <c r="H877" s="419"/>
      <c r="I877" s="419"/>
      <c r="J877" s="419" t="s">
        <v>798</v>
      </c>
      <c r="K877" s="419" t="s">
        <v>798</v>
      </c>
      <c r="L877" s="419" t="s">
        <v>798</v>
      </c>
      <c r="M877" s="419" t="s">
        <v>298</v>
      </c>
      <c r="N877" s="419">
        <v>21.004550930000001</v>
      </c>
      <c r="O877" s="419">
        <v>92.294601439999994</v>
      </c>
      <c r="P877" s="419"/>
      <c r="Q877" s="419"/>
      <c r="R877" s="557"/>
      <c r="S877" s="553"/>
      <c r="T877" s="442">
        <v>43300</v>
      </c>
      <c r="U877" s="424"/>
      <c r="V877" s="419"/>
      <c r="W877" s="419"/>
      <c r="X877" s="542"/>
      <c r="Y877" s="542"/>
      <c r="Z877" s="542"/>
    </row>
    <row r="878" spans="1:26" ht="14.25" customHeight="1">
      <c r="A878" s="419" t="s">
        <v>2706</v>
      </c>
      <c r="B878" s="188" t="s">
        <v>309</v>
      </c>
      <c r="C878" s="189" t="s">
        <v>687</v>
      </c>
      <c r="D878" s="547" t="s">
        <v>1654</v>
      </c>
      <c r="E878" s="183">
        <v>197866</v>
      </c>
      <c r="F878" s="183"/>
      <c r="G878" s="183"/>
      <c r="H878" s="183"/>
      <c r="I878" s="183"/>
      <c r="J878" s="183" t="s">
        <v>798</v>
      </c>
      <c r="K878" s="183" t="s">
        <v>798</v>
      </c>
      <c r="L878" s="183" t="s">
        <v>798</v>
      </c>
      <c r="M878" s="183" t="s">
        <v>795</v>
      </c>
      <c r="N878" s="183">
        <v>21.05834961</v>
      </c>
      <c r="O878" s="183">
        <v>92.336326600000007</v>
      </c>
      <c r="P878" s="183" t="s">
        <v>799</v>
      </c>
      <c r="Q878" s="183" t="s">
        <v>780</v>
      </c>
      <c r="R878" s="476"/>
      <c r="S878" s="475"/>
      <c r="T878" s="185">
        <v>42745</v>
      </c>
      <c r="U878" s="186"/>
      <c r="V878" s="183" t="s">
        <v>687</v>
      </c>
      <c r="W878" s="419"/>
      <c r="X878" s="542"/>
      <c r="Y878" s="542"/>
      <c r="Z878" s="542"/>
    </row>
    <row r="879" spans="1:26" ht="14.25" customHeight="1">
      <c r="A879" s="419" t="s">
        <v>2706</v>
      </c>
      <c r="B879" s="446" t="s">
        <v>309</v>
      </c>
      <c r="C879" s="447" t="s">
        <v>675</v>
      </c>
      <c r="D879" s="421" t="s">
        <v>1654</v>
      </c>
      <c r="E879" s="419"/>
      <c r="F879" s="419"/>
      <c r="G879" s="395"/>
      <c r="H879" s="395"/>
      <c r="I879" s="419"/>
      <c r="J879" s="395" t="s">
        <v>798</v>
      </c>
      <c r="K879" s="419" t="s">
        <v>798</v>
      </c>
      <c r="L879" s="419" t="s">
        <v>798</v>
      </c>
      <c r="M879" s="395" t="s">
        <v>298</v>
      </c>
      <c r="N879" s="395">
        <v>21.004550930000001</v>
      </c>
      <c r="O879" s="395">
        <v>92.294601439999994</v>
      </c>
      <c r="P879" s="395" t="s">
        <v>799</v>
      </c>
      <c r="Q879" s="395" t="s">
        <v>780</v>
      </c>
      <c r="R879" s="430"/>
      <c r="S879" s="423"/>
      <c r="T879" s="398"/>
      <c r="U879" s="397"/>
      <c r="V879" s="395" t="s">
        <v>675</v>
      </c>
      <c r="W879" s="419"/>
      <c r="X879" s="542"/>
      <c r="Y879" s="542"/>
      <c r="Z879" s="542"/>
    </row>
    <row r="880" spans="1:26" ht="14.25" customHeight="1">
      <c r="A880" s="419" t="s">
        <v>2706</v>
      </c>
      <c r="B880" s="566" t="s">
        <v>309</v>
      </c>
      <c r="C880" s="565" t="s">
        <v>2079</v>
      </c>
      <c r="D880" s="472"/>
      <c r="E880" s="542">
        <v>197983</v>
      </c>
      <c r="F880" s="419"/>
      <c r="G880" s="419"/>
      <c r="H880" s="419"/>
      <c r="I880" s="419"/>
      <c r="J880" s="419" t="s">
        <v>798</v>
      </c>
      <c r="K880" s="419" t="s">
        <v>798</v>
      </c>
      <c r="L880" s="419" t="s">
        <v>798</v>
      </c>
      <c r="M880" s="419" t="s">
        <v>683</v>
      </c>
      <c r="N880" s="419">
        <v>20.834699629999999</v>
      </c>
      <c r="O880" s="419">
        <v>92.372390749999994</v>
      </c>
      <c r="P880" s="419"/>
      <c r="Q880" s="419"/>
      <c r="R880" s="548"/>
      <c r="S880" s="423"/>
      <c r="T880" s="442">
        <v>43300</v>
      </c>
      <c r="U880" s="424"/>
      <c r="V880" s="419"/>
      <c r="W880" s="419"/>
      <c r="X880" s="542"/>
      <c r="Y880" s="542"/>
      <c r="Z880" s="542"/>
    </row>
    <row r="881" spans="1:26" ht="14.25" customHeight="1">
      <c r="A881" s="419" t="s">
        <v>2706</v>
      </c>
      <c r="B881" s="441" t="s">
        <v>309</v>
      </c>
      <c r="C881" s="440" t="s">
        <v>566</v>
      </c>
      <c r="D881" s="472" t="s">
        <v>1654</v>
      </c>
      <c r="E881" s="395">
        <v>198047</v>
      </c>
      <c r="F881" s="395"/>
      <c r="G881" s="395"/>
      <c r="H881" s="395"/>
      <c r="I881" s="395"/>
      <c r="J881" s="395" t="s">
        <v>798</v>
      </c>
      <c r="K881" s="395" t="s">
        <v>798</v>
      </c>
      <c r="L881" s="395" t="s">
        <v>798</v>
      </c>
      <c r="M881" s="395" t="s">
        <v>795</v>
      </c>
      <c r="N881" s="395">
        <v>20.717479709999999</v>
      </c>
      <c r="O881" s="395">
        <v>92.437492370000001</v>
      </c>
      <c r="P881" s="395" t="s">
        <v>799</v>
      </c>
      <c r="Q881" s="395" t="s">
        <v>780</v>
      </c>
      <c r="R881" s="422"/>
      <c r="S881" s="423"/>
      <c r="T881" s="398"/>
      <c r="U881" s="397"/>
      <c r="V881" s="395" t="s">
        <v>566</v>
      </c>
      <c r="W881" s="419"/>
      <c r="X881" s="542"/>
      <c r="Y881" s="542"/>
      <c r="Z881" s="542"/>
    </row>
    <row r="882" spans="1:26" ht="14.25" customHeight="1">
      <c r="A882" s="419" t="s">
        <v>2706</v>
      </c>
      <c r="B882" s="441" t="s">
        <v>309</v>
      </c>
      <c r="C882" s="440" t="s">
        <v>2573</v>
      </c>
      <c r="D882" s="472"/>
      <c r="E882" s="395"/>
      <c r="F882" s="395" t="s">
        <v>2692</v>
      </c>
      <c r="G882" s="395"/>
      <c r="H882" s="395"/>
      <c r="I882" s="395"/>
      <c r="J882" s="395" t="s">
        <v>798</v>
      </c>
      <c r="K882" s="395" t="s">
        <v>798</v>
      </c>
      <c r="L882" s="395" t="s">
        <v>798</v>
      </c>
      <c r="M882" s="395" t="s">
        <v>298</v>
      </c>
      <c r="N882" s="395"/>
      <c r="O882" s="395"/>
      <c r="P882" s="395"/>
      <c r="Q882" s="395"/>
      <c r="R882" s="422"/>
      <c r="S882" s="423"/>
      <c r="T882" s="398"/>
      <c r="U882" s="397"/>
      <c r="V882" s="395"/>
      <c r="W882" s="419"/>
      <c r="X882" s="542"/>
      <c r="Y882" s="542"/>
      <c r="Z882" s="542"/>
    </row>
    <row r="883" spans="1:26" ht="14.25" customHeight="1">
      <c r="A883" s="549" t="s">
        <v>2706</v>
      </c>
      <c r="B883" s="577" t="s">
        <v>309</v>
      </c>
      <c r="C883" s="578" t="s">
        <v>2887</v>
      </c>
      <c r="D883" s="547"/>
      <c r="E883" s="395"/>
      <c r="F883" s="419"/>
      <c r="G883" s="395"/>
      <c r="H883" s="395"/>
      <c r="I883" s="395"/>
      <c r="J883" s="395" t="s">
        <v>798</v>
      </c>
      <c r="K883" s="395" t="s">
        <v>798</v>
      </c>
      <c r="L883" s="395" t="s">
        <v>798</v>
      </c>
      <c r="M883" s="395"/>
      <c r="N883" s="395"/>
      <c r="O883" s="395"/>
      <c r="P883" s="395"/>
      <c r="Q883" s="395"/>
      <c r="R883" s="556"/>
      <c r="S883" s="423"/>
      <c r="T883" s="398"/>
      <c r="U883" s="556"/>
      <c r="V883" s="395"/>
      <c r="W883" s="548"/>
      <c r="X883" s="542"/>
      <c r="Y883" s="542"/>
      <c r="Z883" s="542"/>
    </row>
    <row r="884" spans="1:26" ht="14.25" customHeight="1">
      <c r="A884" s="419" t="s">
        <v>2706</v>
      </c>
      <c r="B884" s="446" t="s">
        <v>309</v>
      </c>
      <c r="C884" s="447" t="s">
        <v>2066</v>
      </c>
      <c r="D884" s="421"/>
      <c r="E884" s="395">
        <v>220737</v>
      </c>
      <c r="F884" s="395" t="s">
        <v>548</v>
      </c>
      <c r="G884" s="395"/>
      <c r="H884" s="395"/>
      <c r="I884" s="395"/>
      <c r="J884" s="395" t="s">
        <v>798</v>
      </c>
      <c r="K884" s="395" t="s">
        <v>798</v>
      </c>
      <c r="L884" s="395" t="s">
        <v>798</v>
      </c>
      <c r="M884" s="395" t="s">
        <v>298</v>
      </c>
      <c r="N884" s="395">
        <v>20.806211470000001</v>
      </c>
      <c r="O884" s="395">
        <v>92.404357910000002</v>
      </c>
      <c r="P884" s="395"/>
      <c r="Q884" s="395"/>
      <c r="R884" s="430"/>
      <c r="S884" s="423"/>
      <c r="T884" s="398">
        <v>43300</v>
      </c>
      <c r="U884" s="397"/>
      <c r="V884" s="395"/>
      <c r="W884" s="419"/>
      <c r="X884" s="542"/>
      <c r="Y884" s="542"/>
      <c r="Z884" s="542"/>
    </row>
    <row r="885" spans="1:26" ht="14.25" customHeight="1">
      <c r="A885" s="419" t="s">
        <v>2706</v>
      </c>
      <c r="B885" s="566" t="s">
        <v>309</v>
      </c>
      <c r="C885" s="565" t="s">
        <v>2049</v>
      </c>
      <c r="D885" s="472"/>
      <c r="E885" s="395">
        <v>197940</v>
      </c>
      <c r="F885" s="395"/>
      <c r="G885" s="395"/>
      <c r="H885" s="395"/>
      <c r="I885" s="395"/>
      <c r="J885" s="395" t="s">
        <v>798</v>
      </c>
      <c r="K885" s="395" t="s">
        <v>798</v>
      </c>
      <c r="L885" s="395" t="s">
        <v>798</v>
      </c>
      <c r="M885" s="395" t="s">
        <v>795</v>
      </c>
      <c r="N885" s="395">
        <v>20.836729049999999</v>
      </c>
      <c r="O885" s="395">
        <v>92.350952149999998</v>
      </c>
      <c r="P885" s="395"/>
      <c r="Q885" s="395"/>
      <c r="R885" s="548"/>
      <c r="S885" s="423"/>
      <c r="T885" s="398">
        <v>43300</v>
      </c>
      <c r="U885" s="397"/>
      <c r="V885" s="395"/>
      <c r="W885" s="419"/>
      <c r="X885" s="542"/>
      <c r="Y885" s="542"/>
      <c r="Z885" s="542"/>
    </row>
    <row r="886" spans="1:26" ht="14.25" customHeight="1">
      <c r="A886" s="419" t="s">
        <v>2706</v>
      </c>
      <c r="B886" s="577" t="s">
        <v>309</v>
      </c>
      <c r="C886" s="578" t="s">
        <v>2048</v>
      </c>
      <c r="D886" s="547"/>
      <c r="E886" s="395">
        <v>197940</v>
      </c>
      <c r="F886" s="395"/>
      <c r="G886" s="395"/>
      <c r="H886" s="395"/>
      <c r="I886" s="395"/>
      <c r="J886" s="395" t="s">
        <v>798</v>
      </c>
      <c r="K886" s="395" t="s">
        <v>798</v>
      </c>
      <c r="L886" s="395" t="s">
        <v>798</v>
      </c>
      <c r="M886" s="395" t="s">
        <v>795</v>
      </c>
      <c r="N886" s="395">
        <v>20.836729049999999</v>
      </c>
      <c r="O886" s="395">
        <v>92.350952149999998</v>
      </c>
      <c r="P886" s="395"/>
      <c r="Q886" s="395"/>
      <c r="R886" s="556"/>
      <c r="S886" s="423"/>
      <c r="T886" s="398">
        <v>43300</v>
      </c>
      <c r="U886" s="397"/>
      <c r="V886" s="395"/>
      <c r="W886" s="419"/>
      <c r="X886" s="542"/>
      <c r="Y886" s="542"/>
      <c r="Z886" s="542"/>
    </row>
    <row r="887" spans="1:26" ht="14.25" customHeight="1">
      <c r="A887" s="419" t="s">
        <v>2706</v>
      </c>
      <c r="B887" s="577" t="s">
        <v>309</v>
      </c>
      <c r="C887" s="578" t="s">
        <v>2046</v>
      </c>
      <c r="D887" s="547"/>
      <c r="E887" s="546">
        <v>197940</v>
      </c>
      <c r="F887" s="419"/>
      <c r="G887" s="419"/>
      <c r="H887" s="419"/>
      <c r="I887" s="419"/>
      <c r="J887" s="395" t="s">
        <v>798</v>
      </c>
      <c r="K887" s="395" t="s">
        <v>798</v>
      </c>
      <c r="L887" s="395" t="s">
        <v>798</v>
      </c>
      <c r="M887" s="419" t="s">
        <v>795</v>
      </c>
      <c r="N887" s="419">
        <v>20.836729049999999</v>
      </c>
      <c r="O887" s="419">
        <v>92.350952149999998</v>
      </c>
      <c r="P887" s="395"/>
      <c r="Q887" s="419"/>
      <c r="R887" s="556"/>
      <c r="S887" s="423"/>
      <c r="T887" s="442">
        <v>43300</v>
      </c>
      <c r="U887" s="424"/>
      <c r="V887" s="419"/>
      <c r="W887" s="419"/>
      <c r="X887" s="542"/>
      <c r="Y887" s="542"/>
      <c r="Z887" s="542"/>
    </row>
    <row r="888" spans="1:26" ht="14.25" customHeight="1">
      <c r="A888" s="419" t="s">
        <v>2706</v>
      </c>
      <c r="B888" s="441" t="s">
        <v>309</v>
      </c>
      <c r="C888" s="440" t="s">
        <v>2115</v>
      </c>
      <c r="D888" s="472"/>
      <c r="E888" s="419">
        <v>197940</v>
      </c>
      <c r="F888" s="419"/>
      <c r="G888" s="419"/>
      <c r="H888" s="419"/>
      <c r="I888" s="419"/>
      <c r="J888" s="395" t="s">
        <v>798</v>
      </c>
      <c r="K888" s="419" t="s">
        <v>798</v>
      </c>
      <c r="L888" s="419" t="s">
        <v>798</v>
      </c>
      <c r="M888" s="419" t="s">
        <v>683</v>
      </c>
      <c r="N888" s="419">
        <v>20.836729049999999</v>
      </c>
      <c r="O888" s="419">
        <v>92.350952149999998</v>
      </c>
      <c r="P888" s="395"/>
      <c r="Q888" s="419"/>
      <c r="R888" s="422"/>
      <c r="S888" s="423"/>
      <c r="T888" s="442">
        <v>43300</v>
      </c>
      <c r="U888" s="424"/>
      <c r="V888" s="419"/>
      <c r="W888" s="419"/>
      <c r="X888" s="542"/>
      <c r="Y888" s="542"/>
      <c r="Z888" s="542"/>
    </row>
    <row r="889" spans="1:26" ht="14.25" customHeight="1">
      <c r="A889" s="419" t="s">
        <v>2706</v>
      </c>
      <c r="B889" s="441" t="s">
        <v>309</v>
      </c>
      <c r="C889" s="440" t="s">
        <v>2096</v>
      </c>
      <c r="D889" s="472"/>
      <c r="E889" s="395">
        <v>197933</v>
      </c>
      <c r="F889" s="395"/>
      <c r="G889" s="395"/>
      <c r="H889" s="395"/>
      <c r="I889" s="395"/>
      <c r="J889" s="395" t="s">
        <v>798</v>
      </c>
      <c r="K889" s="395" t="s">
        <v>798</v>
      </c>
      <c r="L889" s="395" t="s">
        <v>798</v>
      </c>
      <c r="M889" s="395" t="s">
        <v>795</v>
      </c>
      <c r="N889" s="395">
        <v>20.85235977</v>
      </c>
      <c r="O889" s="419">
        <v>92.352790830000004</v>
      </c>
      <c r="P889" s="395"/>
      <c r="Q889" s="395"/>
      <c r="R889" s="422"/>
      <c r="S889" s="423"/>
      <c r="T889" s="398">
        <v>43300</v>
      </c>
      <c r="U889" s="397"/>
      <c r="V889" s="395"/>
      <c r="W889" s="419"/>
      <c r="X889" s="542"/>
      <c r="Y889" s="542"/>
      <c r="Z889" s="542"/>
    </row>
    <row r="890" spans="1:26" ht="14.25" customHeight="1">
      <c r="A890" s="419" t="s">
        <v>2706</v>
      </c>
      <c r="B890" s="441" t="s">
        <v>309</v>
      </c>
      <c r="C890" s="440" t="s">
        <v>688</v>
      </c>
      <c r="D890" s="472" t="s">
        <v>1654</v>
      </c>
      <c r="E890" s="395" t="s">
        <v>1404</v>
      </c>
      <c r="F890" s="395"/>
      <c r="G890" s="395"/>
      <c r="H890" s="395" t="s">
        <v>42</v>
      </c>
      <c r="I890" s="395"/>
      <c r="J890" s="395" t="s">
        <v>798</v>
      </c>
      <c r="K890" s="395" t="s">
        <v>798</v>
      </c>
      <c r="L890" s="395" t="s">
        <v>1654</v>
      </c>
      <c r="M890" s="395" t="s">
        <v>795</v>
      </c>
      <c r="N890" s="395">
        <v>21.066663999999999</v>
      </c>
      <c r="O890" s="395">
        <v>92.338031000000001</v>
      </c>
      <c r="P890" s="395" t="s">
        <v>761</v>
      </c>
      <c r="Q890" s="395" t="s">
        <v>780</v>
      </c>
      <c r="R890" s="422"/>
      <c r="S890" s="423"/>
      <c r="T890" s="398">
        <v>43248</v>
      </c>
      <c r="U890" s="397" t="s">
        <v>1901</v>
      </c>
      <c r="V890" s="395"/>
      <c r="W890" s="419"/>
      <c r="X890" s="542"/>
      <c r="Y890" s="542"/>
      <c r="Z890" s="542"/>
    </row>
    <row r="891" spans="1:26" ht="14.25" customHeight="1">
      <c r="A891" s="542" t="s">
        <v>2706</v>
      </c>
      <c r="B891" s="577" t="s">
        <v>309</v>
      </c>
      <c r="C891" s="578" t="s">
        <v>2020</v>
      </c>
      <c r="D891" s="421"/>
      <c r="E891" s="542">
        <v>197830</v>
      </c>
      <c r="F891" s="542" t="s">
        <v>2016</v>
      </c>
      <c r="G891" s="542"/>
      <c r="H891" s="542"/>
      <c r="I891" s="542"/>
      <c r="J891" s="542" t="s">
        <v>798</v>
      </c>
      <c r="K891" s="542" t="s">
        <v>798</v>
      </c>
      <c r="L891" s="542" t="s">
        <v>798</v>
      </c>
      <c r="M891" s="542" t="s">
        <v>298</v>
      </c>
      <c r="N891" s="542">
        <v>21.218200679999999</v>
      </c>
      <c r="O891" s="542">
        <v>92.323173519999997</v>
      </c>
      <c r="P891" s="542" t="s">
        <v>799</v>
      </c>
      <c r="Q891" s="542"/>
      <c r="R891" s="556"/>
      <c r="S891" s="549"/>
      <c r="T891" s="568">
        <v>43294</v>
      </c>
      <c r="U891" s="550" t="s">
        <v>2014</v>
      </c>
      <c r="V891" s="542"/>
      <c r="W891" s="542"/>
      <c r="X891" s="542"/>
      <c r="Y891" s="542"/>
      <c r="Z891" s="542"/>
    </row>
    <row r="892" spans="1:26" ht="14.25" customHeight="1">
      <c r="A892" s="419" t="s">
        <v>2706</v>
      </c>
      <c r="B892" s="577" t="s">
        <v>309</v>
      </c>
      <c r="C892" s="578" t="s">
        <v>2108</v>
      </c>
      <c r="D892" s="547"/>
      <c r="E892" s="395">
        <v>197835</v>
      </c>
      <c r="F892" s="419"/>
      <c r="G892" s="395"/>
      <c r="H892" s="395"/>
      <c r="I892" s="395"/>
      <c r="J892" s="395" t="s">
        <v>798</v>
      </c>
      <c r="K892" s="395" t="s">
        <v>798</v>
      </c>
      <c r="L892" s="395" t="s">
        <v>798</v>
      </c>
      <c r="M892" s="395" t="s">
        <v>298</v>
      </c>
      <c r="N892" s="395">
        <v>21.218610760000001</v>
      </c>
      <c r="O892" s="395">
        <v>92.300231929999995</v>
      </c>
      <c r="P892" s="395"/>
      <c r="Q892" s="395"/>
      <c r="R892" s="556"/>
      <c r="S892" s="423"/>
      <c r="T892" s="398">
        <v>43300</v>
      </c>
      <c r="U892" s="397"/>
      <c r="V892" s="395"/>
      <c r="W892" s="419"/>
      <c r="X892" s="542"/>
      <c r="Y892" s="542"/>
      <c r="Z892" s="542"/>
    </row>
    <row r="893" spans="1:26" ht="14.25" customHeight="1">
      <c r="A893" s="549" t="s">
        <v>2706</v>
      </c>
      <c r="B893" s="446" t="s">
        <v>309</v>
      </c>
      <c r="C893" s="578" t="s">
        <v>2888</v>
      </c>
      <c r="D893" s="421"/>
      <c r="E893" s="395">
        <v>198002</v>
      </c>
      <c r="F893" s="419" t="s">
        <v>2892</v>
      </c>
      <c r="G893" s="395"/>
      <c r="H893" s="395"/>
      <c r="I893" s="395"/>
      <c r="J893" s="395" t="s">
        <v>798</v>
      </c>
      <c r="K893" s="419" t="s">
        <v>798</v>
      </c>
      <c r="L893" s="419" t="s">
        <v>798</v>
      </c>
      <c r="M893" s="395" t="s">
        <v>795</v>
      </c>
      <c r="N893" s="395">
        <v>20.7818698883057</v>
      </c>
      <c r="O893" s="395">
        <v>92.393142700195298</v>
      </c>
      <c r="P893" s="395" t="s">
        <v>799</v>
      </c>
      <c r="Q893" s="395" t="s">
        <v>780</v>
      </c>
      <c r="R893" s="430"/>
      <c r="S893" s="423"/>
      <c r="T893" s="398"/>
      <c r="U893" s="556"/>
      <c r="V893" s="546" t="s">
        <v>594</v>
      </c>
      <c r="W893" s="548"/>
      <c r="X893" s="542"/>
      <c r="Y893" s="542"/>
      <c r="Z893" s="542"/>
    </row>
    <row r="894" spans="1:26" ht="14.25" customHeight="1">
      <c r="A894" s="419" t="s">
        <v>2706</v>
      </c>
      <c r="B894" s="441" t="s">
        <v>309</v>
      </c>
      <c r="C894" s="440" t="s">
        <v>2072</v>
      </c>
      <c r="D894" s="472"/>
      <c r="E894" s="542" t="s">
        <v>2117</v>
      </c>
      <c r="F894" s="395"/>
      <c r="G894" s="395"/>
      <c r="H894" s="395"/>
      <c r="I894" s="395"/>
      <c r="J894" s="395" t="s">
        <v>798</v>
      </c>
      <c r="K894" s="395" t="s">
        <v>798</v>
      </c>
      <c r="L894" s="395" t="s">
        <v>798</v>
      </c>
      <c r="M894" s="395" t="s">
        <v>298</v>
      </c>
      <c r="N894" s="395"/>
      <c r="O894" s="395"/>
      <c r="P894" s="395"/>
      <c r="Q894" s="395"/>
      <c r="R894" s="422"/>
      <c r="S894" s="423"/>
      <c r="T894" s="398">
        <v>43300</v>
      </c>
      <c r="U894" s="397"/>
      <c r="V894" s="395"/>
      <c r="W894" s="419"/>
      <c r="X894" s="542"/>
      <c r="Y894" s="542"/>
      <c r="Z894" s="542"/>
    </row>
    <row r="895" spans="1:26" ht="14.25" customHeight="1">
      <c r="A895" s="419" t="s">
        <v>2706</v>
      </c>
      <c r="B895" s="566" t="s">
        <v>309</v>
      </c>
      <c r="C895" s="440" t="s">
        <v>2071</v>
      </c>
      <c r="D895" s="472"/>
      <c r="E895" s="542" t="s">
        <v>2118</v>
      </c>
      <c r="F895" s="542"/>
      <c r="G895" s="542"/>
      <c r="H895" s="542"/>
      <c r="I895" s="542"/>
      <c r="J895" s="542" t="s">
        <v>798</v>
      </c>
      <c r="K895" s="542" t="s">
        <v>798</v>
      </c>
      <c r="L895" s="542" t="s">
        <v>798</v>
      </c>
      <c r="M895" s="542" t="s">
        <v>298</v>
      </c>
      <c r="N895" s="542"/>
      <c r="O895" s="542"/>
      <c r="P895" s="395"/>
      <c r="Q895" s="542"/>
      <c r="R895" s="548"/>
      <c r="S895" s="549"/>
      <c r="T895" s="568">
        <v>43300</v>
      </c>
      <c r="U895" s="550"/>
      <c r="V895" s="542"/>
      <c r="W895" s="419"/>
      <c r="X895" s="542"/>
      <c r="Y895" s="542"/>
      <c r="Z895" s="542"/>
    </row>
    <row r="896" spans="1:26" ht="14.25" customHeight="1">
      <c r="A896" s="419" t="s">
        <v>2706</v>
      </c>
      <c r="B896" s="441" t="s">
        <v>309</v>
      </c>
      <c r="C896" s="440" t="s">
        <v>2070</v>
      </c>
      <c r="D896" s="472"/>
      <c r="E896" s="419" t="s">
        <v>2119</v>
      </c>
      <c r="F896" s="419"/>
      <c r="G896" s="395"/>
      <c r="H896" s="395"/>
      <c r="I896" s="419"/>
      <c r="J896" s="395" t="s">
        <v>798</v>
      </c>
      <c r="K896" s="395" t="s">
        <v>798</v>
      </c>
      <c r="L896" s="419" t="s">
        <v>798</v>
      </c>
      <c r="M896" s="395" t="s">
        <v>298</v>
      </c>
      <c r="N896" s="395"/>
      <c r="O896" s="395"/>
      <c r="P896" s="395"/>
      <c r="Q896" s="395"/>
      <c r="R896" s="422"/>
      <c r="S896" s="423"/>
      <c r="T896" s="398">
        <v>43300</v>
      </c>
      <c r="U896" s="397"/>
      <c r="V896" s="395"/>
      <c r="W896" s="419"/>
      <c r="X896" s="542"/>
      <c r="Y896" s="542"/>
      <c r="Z896" s="542"/>
    </row>
    <row r="897" spans="1:26" ht="14.25" customHeight="1">
      <c r="A897" s="419" t="s">
        <v>2706</v>
      </c>
      <c r="B897" s="566" t="s">
        <v>309</v>
      </c>
      <c r="C897" s="565" t="s">
        <v>2069</v>
      </c>
      <c r="D897" s="472"/>
      <c r="E897" s="419" t="s">
        <v>2120</v>
      </c>
      <c r="F897" s="419"/>
      <c r="G897" s="419"/>
      <c r="H897" s="419"/>
      <c r="I897" s="419"/>
      <c r="J897" s="419" t="s">
        <v>798</v>
      </c>
      <c r="K897" s="419" t="s">
        <v>798</v>
      </c>
      <c r="L897" s="419" t="s">
        <v>798</v>
      </c>
      <c r="M897" s="419" t="s">
        <v>298</v>
      </c>
      <c r="N897" s="419"/>
      <c r="O897" s="419"/>
      <c r="P897" s="419"/>
      <c r="Q897" s="419"/>
      <c r="R897" s="548"/>
      <c r="S897" s="423"/>
      <c r="T897" s="442">
        <v>43300</v>
      </c>
      <c r="U897" s="424"/>
      <c r="V897" s="419"/>
      <c r="W897" s="419"/>
      <c r="X897" s="542"/>
      <c r="Y897" s="542"/>
      <c r="Z897" s="542"/>
    </row>
    <row r="898" spans="1:26" ht="14.25" customHeight="1">
      <c r="A898" s="419" t="s">
        <v>2706</v>
      </c>
      <c r="B898" s="566" t="s">
        <v>309</v>
      </c>
      <c r="C898" s="565" t="s">
        <v>1909</v>
      </c>
      <c r="D898" s="472"/>
      <c r="E898" s="419">
        <v>198016</v>
      </c>
      <c r="F898" s="419"/>
      <c r="G898" s="419"/>
      <c r="H898" s="419"/>
      <c r="I898" s="419"/>
      <c r="J898" s="419" t="s">
        <v>798</v>
      </c>
      <c r="K898" s="419" t="s">
        <v>798</v>
      </c>
      <c r="L898" s="419" t="s">
        <v>798</v>
      </c>
      <c r="M898" s="419" t="s">
        <v>298</v>
      </c>
      <c r="N898" s="419">
        <v>20.731571200000001</v>
      </c>
      <c r="O898" s="419">
        <v>92.428176879999995</v>
      </c>
      <c r="P898" s="419" t="s">
        <v>799</v>
      </c>
      <c r="Q898" s="419" t="s">
        <v>1908</v>
      </c>
      <c r="R898" s="548"/>
      <c r="S898" s="423"/>
      <c r="T898" s="442">
        <v>43245</v>
      </c>
      <c r="U898" s="424"/>
      <c r="V898" s="419"/>
      <c r="W898" s="419"/>
      <c r="X898" s="542"/>
      <c r="Y898" s="542"/>
      <c r="Z898" s="542"/>
    </row>
    <row r="899" spans="1:26" ht="14.25" customHeight="1">
      <c r="A899" s="480" t="s">
        <v>2706</v>
      </c>
      <c r="B899" s="481" t="s">
        <v>309</v>
      </c>
      <c r="C899" s="490" t="s">
        <v>2749</v>
      </c>
      <c r="D899" s="421"/>
      <c r="E899" s="482">
        <v>198085</v>
      </c>
      <c r="F899" s="482" t="s">
        <v>2735</v>
      </c>
      <c r="G899" s="482"/>
      <c r="H899" s="482"/>
      <c r="I899" s="482"/>
      <c r="J899" s="482" t="s">
        <v>2715</v>
      </c>
      <c r="K899" s="482" t="s">
        <v>2677</v>
      </c>
      <c r="L899" s="482" t="s">
        <v>2677</v>
      </c>
      <c r="M899" s="482"/>
      <c r="N899" s="482">
        <v>20.4804992675781</v>
      </c>
      <c r="O899" s="572">
        <v>92.611358642578097</v>
      </c>
      <c r="P899" s="482"/>
      <c r="Q899" s="482" t="s">
        <v>2682</v>
      </c>
      <c r="R899" s="483"/>
      <c r="S899" s="480"/>
      <c r="T899" s="484">
        <v>43580</v>
      </c>
      <c r="U899" s="485" t="s">
        <v>2736</v>
      </c>
      <c r="V899" s="486"/>
      <c r="W899" s="548"/>
      <c r="X899" s="542"/>
      <c r="Y899" s="542"/>
      <c r="Z899" s="542"/>
    </row>
    <row r="900" spans="1:26" ht="14.25" customHeight="1">
      <c r="A900" s="419" t="s">
        <v>2706</v>
      </c>
      <c r="B900" s="441" t="s">
        <v>309</v>
      </c>
      <c r="C900" s="440" t="s">
        <v>1746</v>
      </c>
      <c r="D900" s="472"/>
      <c r="E900" s="395">
        <v>197917</v>
      </c>
      <c r="F900" s="419"/>
      <c r="G900" s="395"/>
      <c r="H900" s="395"/>
      <c r="I900" s="395"/>
      <c r="J900" s="395" t="s">
        <v>798</v>
      </c>
      <c r="K900" s="395" t="s">
        <v>798</v>
      </c>
      <c r="L900" s="419" t="s">
        <v>798</v>
      </c>
      <c r="M900" s="395" t="s">
        <v>298</v>
      </c>
      <c r="N900" s="395">
        <v>20.943050379999999</v>
      </c>
      <c r="O900" s="395">
        <v>92.315856929999995</v>
      </c>
      <c r="P900" s="395"/>
      <c r="Q900" s="395"/>
      <c r="R900" s="422"/>
      <c r="S900" s="423"/>
      <c r="T900" s="398">
        <v>43300</v>
      </c>
      <c r="U900" s="397"/>
      <c r="V900" s="395"/>
      <c r="W900" s="419"/>
      <c r="X900" s="542"/>
      <c r="Y900" s="542"/>
      <c r="Z900" s="542"/>
    </row>
    <row r="901" spans="1:26" ht="14.25" customHeight="1">
      <c r="A901" s="419" t="s">
        <v>2706</v>
      </c>
      <c r="B901" s="577" t="s">
        <v>309</v>
      </c>
      <c r="C901" s="578" t="s">
        <v>2753</v>
      </c>
      <c r="D901" s="547"/>
      <c r="E901" s="395">
        <v>220747</v>
      </c>
      <c r="F901" s="419"/>
      <c r="G901" s="395"/>
      <c r="H901" s="395"/>
      <c r="I901" s="395"/>
      <c r="J901" s="395" t="s">
        <v>798</v>
      </c>
      <c r="K901" s="395" t="s">
        <v>798</v>
      </c>
      <c r="L901" s="395" t="s">
        <v>798</v>
      </c>
      <c r="M901" s="395" t="s">
        <v>2092</v>
      </c>
      <c r="N901" s="395">
        <v>21.153581620000001</v>
      </c>
      <c r="O901" s="395">
        <v>92.250885010000005</v>
      </c>
      <c r="P901" s="395" t="s">
        <v>799</v>
      </c>
      <c r="Q901" s="395"/>
      <c r="R901" s="556"/>
      <c r="S901" s="423"/>
      <c r="T901" s="398">
        <v>43300</v>
      </c>
      <c r="U901" s="397"/>
      <c r="V901" s="395"/>
      <c r="W901" s="419"/>
      <c r="X901" s="542"/>
      <c r="Y901" s="542"/>
      <c r="Z901" s="542"/>
    </row>
    <row r="902" spans="1:26" ht="14.25" customHeight="1">
      <c r="A902" s="419" t="s">
        <v>2706</v>
      </c>
      <c r="B902" s="441" t="s">
        <v>309</v>
      </c>
      <c r="C902" s="440" t="s">
        <v>2752</v>
      </c>
      <c r="D902" s="472"/>
      <c r="E902" s="546">
        <v>220747</v>
      </c>
      <c r="F902" s="395" t="s">
        <v>2017</v>
      </c>
      <c r="G902" s="395"/>
      <c r="H902" s="395"/>
      <c r="I902" s="395"/>
      <c r="J902" s="395" t="s">
        <v>798</v>
      </c>
      <c r="K902" s="419" t="s">
        <v>798</v>
      </c>
      <c r="L902" s="419" t="s">
        <v>798</v>
      </c>
      <c r="M902" s="395" t="s">
        <v>298</v>
      </c>
      <c r="N902" s="395">
        <v>21.153581620000001</v>
      </c>
      <c r="O902" s="395">
        <v>92.250885010000005</v>
      </c>
      <c r="P902" s="395" t="s">
        <v>799</v>
      </c>
      <c r="Q902" s="395"/>
      <c r="R902" s="548"/>
      <c r="S902" s="549"/>
      <c r="T902" s="398">
        <v>43294</v>
      </c>
      <c r="U902" s="397" t="s">
        <v>2014</v>
      </c>
      <c r="V902" s="395"/>
      <c r="W902" s="419"/>
      <c r="X902" s="542"/>
      <c r="Y902" s="542"/>
      <c r="Z902" s="542"/>
    </row>
    <row r="903" spans="1:26" ht="14.25" customHeight="1">
      <c r="A903" s="419" t="s">
        <v>2706</v>
      </c>
      <c r="B903" s="577" t="s">
        <v>309</v>
      </c>
      <c r="C903" s="440" t="s">
        <v>2059</v>
      </c>
      <c r="D903" s="473"/>
      <c r="E903" s="546">
        <v>197957</v>
      </c>
      <c r="F903" s="546"/>
      <c r="G903" s="546"/>
      <c r="H903" s="546"/>
      <c r="I903" s="546"/>
      <c r="J903" s="546" t="s">
        <v>798</v>
      </c>
      <c r="K903" s="546" t="s">
        <v>798</v>
      </c>
      <c r="L903" s="546" t="s">
        <v>798</v>
      </c>
      <c r="M903" s="546" t="s">
        <v>795</v>
      </c>
      <c r="N903" s="546">
        <v>20.900329589999998</v>
      </c>
      <c r="O903" s="546">
        <v>92.362213130000001</v>
      </c>
      <c r="P903" s="395"/>
      <c r="Q903" s="546"/>
      <c r="R903" s="557"/>
      <c r="S903" s="553"/>
      <c r="T903" s="569">
        <v>43300</v>
      </c>
      <c r="U903" s="554"/>
      <c r="V903" s="546"/>
      <c r="W903" s="419"/>
      <c r="X903" s="542"/>
      <c r="Y903" s="542"/>
      <c r="Z903" s="542"/>
    </row>
    <row r="904" spans="1:26" ht="14.25" customHeight="1">
      <c r="A904" s="419" t="s">
        <v>2706</v>
      </c>
      <c r="B904" s="441" t="s">
        <v>309</v>
      </c>
      <c r="C904" s="440" t="s">
        <v>691</v>
      </c>
      <c r="D904" s="472" t="s">
        <v>1654</v>
      </c>
      <c r="E904" s="419">
        <v>220722</v>
      </c>
      <c r="F904" s="419"/>
      <c r="G904" s="395"/>
      <c r="H904" s="395"/>
      <c r="I904" s="395"/>
      <c r="J904" s="395" t="s">
        <v>798</v>
      </c>
      <c r="K904" s="419" t="s">
        <v>798</v>
      </c>
      <c r="L904" s="419" t="s">
        <v>798</v>
      </c>
      <c r="M904" s="395" t="s">
        <v>795</v>
      </c>
      <c r="N904" s="395">
        <v>21.200752260000002</v>
      </c>
      <c r="O904" s="395">
        <v>92.309303279999995</v>
      </c>
      <c r="P904" s="395" t="s">
        <v>799</v>
      </c>
      <c r="Q904" s="395" t="s">
        <v>780</v>
      </c>
      <c r="R904" s="422"/>
      <c r="S904" s="423"/>
      <c r="T904" s="398"/>
      <c r="U904" s="397"/>
      <c r="V904" s="395" t="s">
        <v>959</v>
      </c>
      <c r="W904" s="419"/>
      <c r="X904" s="542"/>
      <c r="Y904" s="542"/>
      <c r="Z904" s="542"/>
    </row>
    <row r="905" spans="1:26" ht="14.25" customHeight="1">
      <c r="A905" s="419" t="s">
        <v>2706</v>
      </c>
      <c r="B905" s="577" t="s">
        <v>309</v>
      </c>
      <c r="C905" s="578" t="s">
        <v>626</v>
      </c>
      <c r="D905" s="547" t="s">
        <v>1654</v>
      </c>
      <c r="E905" s="395" t="s">
        <v>1394</v>
      </c>
      <c r="F905" s="419"/>
      <c r="G905" s="395"/>
      <c r="H905" s="395" t="s">
        <v>42</v>
      </c>
      <c r="I905" s="395"/>
      <c r="J905" s="395" t="s">
        <v>798</v>
      </c>
      <c r="K905" s="419" t="s">
        <v>798</v>
      </c>
      <c r="L905" s="419" t="s">
        <v>1654</v>
      </c>
      <c r="M905" s="395" t="s">
        <v>795</v>
      </c>
      <c r="N905" s="395">
        <v>20.824517</v>
      </c>
      <c r="O905" s="395">
        <v>92.401293999999993</v>
      </c>
      <c r="P905" s="395" t="s">
        <v>761</v>
      </c>
      <c r="Q905" s="395"/>
      <c r="R905" s="556"/>
      <c r="S905" s="423"/>
      <c r="T905" s="398">
        <v>43248</v>
      </c>
      <c r="U905" s="397" t="s">
        <v>1901</v>
      </c>
      <c r="V905" s="395" t="s">
        <v>941</v>
      </c>
      <c r="W905" s="419"/>
      <c r="X905" s="542"/>
      <c r="Y905" s="542"/>
      <c r="Z905" s="542"/>
    </row>
    <row r="906" spans="1:26" ht="14.25" customHeight="1">
      <c r="A906" s="419" t="s">
        <v>2706</v>
      </c>
      <c r="B906" s="577" t="s">
        <v>309</v>
      </c>
      <c r="C906" s="578" t="s">
        <v>2061</v>
      </c>
      <c r="D906" s="547"/>
      <c r="E906" s="395">
        <v>197951</v>
      </c>
      <c r="F906" s="419"/>
      <c r="G906" s="395"/>
      <c r="H906" s="395"/>
      <c r="I906" s="395"/>
      <c r="J906" s="395" t="s">
        <v>798</v>
      </c>
      <c r="K906" s="419" t="s">
        <v>798</v>
      </c>
      <c r="L906" s="419" t="s">
        <v>798</v>
      </c>
      <c r="M906" s="395" t="s">
        <v>795</v>
      </c>
      <c r="N906" s="395">
        <v>20.905330660000001</v>
      </c>
      <c r="O906" s="395">
        <v>92.344802860000001</v>
      </c>
      <c r="P906" s="395"/>
      <c r="Q906" s="395"/>
      <c r="R906" s="556"/>
      <c r="S906" s="423"/>
      <c r="T906" s="398">
        <v>43300</v>
      </c>
      <c r="U906" s="397"/>
      <c r="V906" s="395"/>
      <c r="W906" s="419"/>
      <c r="X906" s="542"/>
      <c r="Y906" s="542"/>
      <c r="Z906" s="542"/>
    </row>
    <row r="907" spans="1:26" ht="14.25" customHeight="1">
      <c r="A907" s="419" t="s">
        <v>2706</v>
      </c>
      <c r="B907" s="577" t="s">
        <v>309</v>
      </c>
      <c r="C907" s="578" t="s">
        <v>2062</v>
      </c>
      <c r="D907" s="547"/>
      <c r="E907" s="395">
        <v>197952</v>
      </c>
      <c r="F907" s="395"/>
      <c r="G907" s="395"/>
      <c r="H907" s="395"/>
      <c r="I907" s="395"/>
      <c r="J907" s="395" t="s">
        <v>798</v>
      </c>
      <c r="K907" s="395" t="s">
        <v>798</v>
      </c>
      <c r="L907" s="395" t="s">
        <v>798</v>
      </c>
      <c r="M907" s="395" t="s">
        <v>795</v>
      </c>
      <c r="N907" s="395">
        <v>20.90098953</v>
      </c>
      <c r="O907" s="419">
        <v>92.355827329999997</v>
      </c>
      <c r="P907" s="395"/>
      <c r="Q907" s="395"/>
      <c r="R907" s="556"/>
      <c r="S907" s="423"/>
      <c r="T907" s="398">
        <v>43300</v>
      </c>
      <c r="U907" s="397"/>
      <c r="V907" s="395"/>
      <c r="W907" s="419"/>
      <c r="X907" s="542"/>
      <c r="Y907" s="542"/>
      <c r="Z907" s="542"/>
    </row>
    <row r="908" spans="1:26" ht="14.25" customHeight="1">
      <c r="A908" s="419" t="s">
        <v>2706</v>
      </c>
      <c r="B908" s="441" t="s">
        <v>309</v>
      </c>
      <c r="C908" s="440" t="s">
        <v>690</v>
      </c>
      <c r="D908" s="472" t="s">
        <v>1654</v>
      </c>
      <c r="E908" s="395">
        <v>197839</v>
      </c>
      <c r="F908" s="395"/>
      <c r="G908" s="395"/>
      <c r="H908" s="395"/>
      <c r="I908" s="395"/>
      <c r="J908" s="395" t="s">
        <v>798</v>
      </c>
      <c r="K908" s="395" t="s">
        <v>798</v>
      </c>
      <c r="L908" s="395" t="s">
        <v>798</v>
      </c>
      <c r="M908" s="395" t="s">
        <v>795</v>
      </c>
      <c r="N908" s="542">
        <v>21.18890953</v>
      </c>
      <c r="O908" s="542">
        <v>92.306762699999993</v>
      </c>
      <c r="P908" s="395" t="s">
        <v>799</v>
      </c>
      <c r="Q908" s="395" t="s">
        <v>780</v>
      </c>
      <c r="R908" s="422"/>
      <c r="S908" s="423"/>
      <c r="T908" s="398"/>
      <c r="U908" s="397"/>
      <c r="V908" s="395" t="s">
        <v>958</v>
      </c>
      <c r="W908" s="419"/>
      <c r="X908" s="542"/>
      <c r="Y908" s="542"/>
      <c r="Z908" s="542"/>
    </row>
    <row r="909" spans="1:26" ht="14.25" customHeight="1">
      <c r="A909" s="419" t="s">
        <v>2706</v>
      </c>
      <c r="B909" s="441" t="s">
        <v>309</v>
      </c>
      <c r="C909" s="440" t="s">
        <v>2077</v>
      </c>
      <c r="D909" s="472"/>
      <c r="E909" s="395"/>
      <c r="F909" s="419"/>
      <c r="G909" s="395"/>
      <c r="H909" s="395"/>
      <c r="I909" s="395"/>
      <c r="J909" s="395" t="s">
        <v>798</v>
      </c>
      <c r="K909" s="419" t="s">
        <v>798</v>
      </c>
      <c r="L909" s="419" t="s">
        <v>798</v>
      </c>
      <c r="M909" s="395" t="s">
        <v>2090</v>
      </c>
      <c r="N909" s="395"/>
      <c r="O909" s="395"/>
      <c r="P909" s="395"/>
      <c r="Q909" s="395"/>
      <c r="R909" s="422"/>
      <c r="S909" s="423"/>
      <c r="T909" s="398">
        <v>43300</v>
      </c>
      <c r="U909" s="397"/>
      <c r="V909" s="395"/>
      <c r="W909" s="419"/>
      <c r="X909" s="542"/>
      <c r="Y909" s="542"/>
      <c r="Z909" s="542"/>
    </row>
    <row r="910" spans="1:26" ht="14.25" customHeight="1">
      <c r="A910" s="419" t="s">
        <v>2706</v>
      </c>
      <c r="B910" s="441" t="s">
        <v>309</v>
      </c>
      <c r="C910" s="440" t="s">
        <v>2766</v>
      </c>
      <c r="D910" s="472"/>
      <c r="E910" s="395">
        <v>198101</v>
      </c>
      <c r="F910" s="419"/>
      <c r="G910" s="395"/>
      <c r="H910" s="395"/>
      <c r="I910" s="395"/>
      <c r="J910" s="395" t="s">
        <v>798</v>
      </c>
      <c r="K910" s="395" t="s">
        <v>798</v>
      </c>
      <c r="L910" s="395" t="s">
        <v>798</v>
      </c>
      <c r="M910" s="395" t="s">
        <v>2092</v>
      </c>
      <c r="N910" s="395">
        <v>21.177719119999999</v>
      </c>
      <c r="O910" s="395">
        <v>92.239547729999998</v>
      </c>
      <c r="P910" s="395"/>
      <c r="Q910" s="395"/>
      <c r="R910" s="552"/>
      <c r="S910" s="553"/>
      <c r="T910" s="398">
        <v>43300</v>
      </c>
      <c r="U910" s="397"/>
      <c r="V910" s="395"/>
      <c r="W910" s="419"/>
      <c r="X910" s="542"/>
      <c r="Y910" s="542"/>
      <c r="Z910" s="542"/>
    </row>
    <row r="911" spans="1:26" ht="14.25" customHeight="1">
      <c r="A911" s="419" t="s">
        <v>2706</v>
      </c>
      <c r="B911" s="441" t="s">
        <v>309</v>
      </c>
      <c r="C911" s="440" t="s">
        <v>2015</v>
      </c>
      <c r="D911" s="472"/>
      <c r="E911" s="395">
        <v>198101</v>
      </c>
      <c r="F911" s="395" t="s">
        <v>2017</v>
      </c>
      <c r="G911" s="395"/>
      <c r="H911" s="395"/>
      <c r="I911" s="395"/>
      <c r="J911" s="395" t="s">
        <v>798</v>
      </c>
      <c r="K911" s="395" t="s">
        <v>798</v>
      </c>
      <c r="L911" s="395" t="s">
        <v>798</v>
      </c>
      <c r="M911" s="395" t="s">
        <v>298</v>
      </c>
      <c r="N911" s="395">
        <v>21.177719119999999</v>
      </c>
      <c r="O911" s="395">
        <v>92.239547729999998</v>
      </c>
      <c r="P911" s="395" t="s">
        <v>799</v>
      </c>
      <c r="Q911" s="395"/>
      <c r="R911" s="422"/>
      <c r="S911" s="423"/>
      <c r="T911" s="398">
        <v>43294</v>
      </c>
      <c r="U911" s="397" t="s">
        <v>2014</v>
      </c>
      <c r="V911" s="395"/>
      <c r="W911" s="419"/>
      <c r="X911" s="542"/>
      <c r="Y911" s="542"/>
      <c r="Z911" s="542"/>
    </row>
    <row r="912" spans="1:26" ht="14.25" customHeight="1">
      <c r="A912" s="419" t="s">
        <v>2706</v>
      </c>
      <c r="B912" s="441" t="s">
        <v>309</v>
      </c>
      <c r="C912" s="440" t="s">
        <v>349</v>
      </c>
      <c r="D912" s="472" t="s">
        <v>1654</v>
      </c>
      <c r="E912" s="395"/>
      <c r="F912" s="395"/>
      <c r="G912" s="395"/>
      <c r="H912" s="395"/>
      <c r="I912" s="395"/>
      <c r="J912" s="395" t="s">
        <v>798</v>
      </c>
      <c r="K912" s="395" t="s">
        <v>798</v>
      </c>
      <c r="L912" s="395" t="s">
        <v>798</v>
      </c>
      <c r="M912" s="395" t="s">
        <v>298</v>
      </c>
      <c r="N912" s="419"/>
      <c r="O912" s="419"/>
      <c r="P912" s="395" t="s">
        <v>799</v>
      </c>
      <c r="Q912" s="395" t="s">
        <v>780</v>
      </c>
      <c r="R912" s="422"/>
      <c r="S912" s="423"/>
      <c r="T912" s="398"/>
      <c r="U912" s="397"/>
      <c r="V912" s="395" t="s">
        <v>349</v>
      </c>
      <c r="W912" s="419"/>
      <c r="X912" s="542"/>
      <c r="Y912" s="542"/>
      <c r="Z912" s="542"/>
    </row>
    <row r="913" spans="1:26" ht="14.25" customHeight="1">
      <c r="A913" s="419" t="s">
        <v>2706</v>
      </c>
      <c r="B913" s="441" t="s">
        <v>309</v>
      </c>
      <c r="C913" s="440" t="s">
        <v>350</v>
      </c>
      <c r="D913" s="472" t="s">
        <v>1654</v>
      </c>
      <c r="E913" s="395"/>
      <c r="F913" s="395"/>
      <c r="G913" s="395"/>
      <c r="H913" s="395"/>
      <c r="I913" s="395"/>
      <c r="J913" s="395" t="s">
        <v>798</v>
      </c>
      <c r="K913" s="395" t="s">
        <v>798</v>
      </c>
      <c r="L913" s="395" t="s">
        <v>798</v>
      </c>
      <c r="M913" s="395" t="s">
        <v>795</v>
      </c>
      <c r="N913" s="395"/>
      <c r="O913" s="395"/>
      <c r="P913" s="395" t="s">
        <v>799</v>
      </c>
      <c r="Q913" s="395" t="s">
        <v>780</v>
      </c>
      <c r="R913" s="422"/>
      <c r="S913" s="423"/>
      <c r="T913" s="398"/>
      <c r="U913" s="397"/>
      <c r="V913" s="395" t="s">
        <v>350</v>
      </c>
      <c r="W913" s="419"/>
      <c r="X913" s="542"/>
      <c r="Y913" s="542"/>
      <c r="Z913" s="542"/>
    </row>
    <row r="914" spans="1:26" ht="14.25" customHeight="1">
      <c r="A914" s="419" t="s">
        <v>2706</v>
      </c>
      <c r="B914" s="441" t="s">
        <v>309</v>
      </c>
      <c r="C914" s="440" t="s">
        <v>351</v>
      </c>
      <c r="D914" s="472" t="s">
        <v>1654</v>
      </c>
      <c r="E914" s="395"/>
      <c r="F914" s="419"/>
      <c r="G914" s="395"/>
      <c r="H914" s="395"/>
      <c r="I914" s="395"/>
      <c r="J914" s="395" t="s">
        <v>798</v>
      </c>
      <c r="K914" s="395" t="s">
        <v>798</v>
      </c>
      <c r="L914" s="395" t="s">
        <v>798</v>
      </c>
      <c r="M914" s="395" t="s">
        <v>795</v>
      </c>
      <c r="N914" s="542"/>
      <c r="O914" s="542"/>
      <c r="P914" s="395" t="s">
        <v>799</v>
      </c>
      <c r="Q914" s="395" t="s">
        <v>780</v>
      </c>
      <c r="R914" s="422"/>
      <c r="S914" s="423"/>
      <c r="T914" s="398"/>
      <c r="U914" s="397"/>
      <c r="V914" s="395" t="s">
        <v>351</v>
      </c>
      <c r="W914" s="419"/>
      <c r="X914" s="542"/>
      <c r="Y914" s="542"/>
      <c r="Z914" s="542"/>
    </row>
    <row r="915" spans="1:26" ht="14.25" customHeight="1">
      <c r="A915" s="542" t="s">
        <v>2706</v>
      </c>
      <c r="B915" s="566" t="s">
        <v>309</v>
      </c>
      <c r="C915" s="565" t="s">
        <v>2111</v>
      </c>
      <c r="D915" s="472"/>
      <c r="E915" s="542">
        <v>197825</v>
      </c>
      <c r="F915" s="542"/>
      <c r="G915" s="542"/>
      <c r="H915" s="542"/>
      <c r="I915" s="542"/>
      <c r="J915" s="542" t="s">
        <v>798</v>
      </c>
      <c r="K915" s="542" t="s">
        <v>798</v>
      </c>
      <c r="L915" s="542" t="s">
        <v>798</v>
      </c>
      <c r="M915" s="542" t="s">
        <v>2095</v>
      </c>
      <c r="N915" s="542">
        <v>21.239080430000001</v>
      </c>
      <c r="O915" s="542">
        <v>92.288932799999998</v>
      </c>
      <c r="P915" s="542"/>
      <c r="Q915" s="542"/>
      <c r="R915" s="548"/>
      <c r="S915" s="549"/>
      <c r="T915" s="568">
        <v>43300</v>
      </c>
      <c r="U915" s="550"/>
      <c r="V915" s="542"/>
      <c r="W915" s="542"/>
      <c r="X915" s="542"/>
      <c r="Y915" s="542"/>
      <c r="Z915" s="542"/>
    </row>
    <row r="916" spans="1:26" ht="14.25" customHeight="1">
      <c r="A916" s="419" t="s">
        <v>2706</v>
      </c>
      <c r="B916" s="441" t="s">
        <v>309</v>
      </c>
      <c r="C916" s="440" t="s">
        <v>352</v>
      </c>
      <c r="D916" s="472" t="s">
        <v>1654</v>
      </c>
      <c r="E916" s="419">
        <v>197826</v>
      </c>
      <c r="F916" s="395"/>
      <c r="G916" s="395"/>
      <c r="H916" s="419"/>
      <c r="I916" s="419"/>
      <c r="J916" s="419" t="s">
        <v>798</v>
      </c>
      <c r="K916" s="419" t="s">
        <v>798</v>
      </c>
      <c r="L916" s="419" t="s">
        <v>798</v>
      </c>
      <c r="M916" s="419" t="s">
        <v>2010</v>
      </c>
      <c r="N916" s="560"/>
      <c r="O916" s="560"/>
      <c r="P916" s="395" t="s">
        <v>799</v>
      </c>
      <c r="Q916" s="419" t="s">
        <v>780</v>
      </c>
      <c r="R916" s="422"/>
      <c r="S916" s="423"/>
      <c r="T916" s="442"/>
      <c r="U916" s="424"/>
      <c r="V916" s="395" t="s">
        <v>1147</v>
      </c>
      <c r="W916" s="419"/>
      <c r="X916" s="542"/>
      <c r="Y916" s="542"/>
      <c r="Z916" s="542"/>
    </row>
    <row r="917" spans="1:26" ht="14.25" customHeight="1">
      <c r="A917" s="542" t="s">
        <v>2706</v>
      </c>
      <c r="B917" s="566" t="s">
        <v>309</v>
      </c>
      <c r="C917" s="565" t="s">
        <v>2087</v>
      </c>
      <c r="D917" s="472"/>
      <c r="E917" s="542">
        <v>197930</v>
      </c>
      <c r="F917" s="542"/>
      <c r="G917" s="542"/>
      <c r="H917" s="542"/>
      <c r="I917" s="542"/>
      <c r="J917" s="395" t="s">
        <v>798</v>
      </c>
      <c r="K917" s="395" t="s">
        <v>798</v>
      </c>
      <c r="L917" s="395" t="s">
        <v>798</v>
      </c>
      <c r="M917" s="542" t="s">
        <v>795</v>
      </c>
      <c r="N917" s="542">
        <v>20.9400692</v>
      </c>
      <c r="O917" s="542">
        <v>92.337913510000007</v>
      </c>
      <c r="P917" s="542"/>
      <c r="Q917" s="542"/>
      <c r="R917" s="548"/>
      <c r="S917" s="549"/>
      <c r="T917" s="568">
        <v>43300</v>
      </c>
      <c r="U917" s="550"/>
      <c r="V917" s="542"/>
      <c r="W917" s="542"/>
      <c r="X917" s="542"/>
      <c r="Y917" s="542"/>
      <c r="Z917" s="542"/>
    </row>
    <row r="918" spans="1:26" ht="14.25" customHeight="1">
      <c r="A918" s="419" t="s">
        <v>2706</v>
      </c>
      <c r="B918" s="441" t="s">
        <v>309</v>
      </c>
      <c r="C918" s="440" t="s">
        <v>2105</v>
      </c>
      <c r="D918" s="472"/>
      <c r="E918" s="395">
        <v>220741</v>
      </c>
      <c r="F918" s="419"/>
      <c r="G918" s="395"/>
      <c r="H918" s="395"/>
      <c r="I918" s="395"/>
      <c r="J918" s="395" t="s">
        <v>798</v>
      </c>
      <c r="K918" s="395" t="s">
        <v>798</v>
      </c>
      <c r="L918" s="419" t="s">
        <v>798</v>
      </c>
      <c r="M918" s="395" t="s">
        <v>298</v>
      </c>
      <c r="N918" s="395">
        <v>20.680984500000001</v>
      </c>
      <c r="O918" s="395">
        <v>92.473495479999997</v>
      </c>
      <c r="P918" s="395"/>
      <c r="Q918" s="395"/>
      <c r="R918" s="422"/>
      <c r="S918" s="423"/>
      <c r="T918" s="398">
        <v>43300</v>
      </c>
      <c r="U918" s="397"/>
      <c r="V918" s="395"/>
      <c r="W918" s="419"/>
      <c r="X918" s="542"/>
      <c r="Y918" s="542"/>
      <c r="Z918" s="542"/>
    </row>
    <row r="919" spans="1:26" ht="14.25" customHeight="1">
      <c r="A919" s="419" t="s">
        <v>2706</v>
      </c>
      <c r="B919" s="441" t="s">
        <v>309</v>
      </c>
      <c r="C919" s="440" t="s">
        <v>355</v>
      </c>
      <c r="D919" s="472" t="s">
        <v>1654</v>
      </c>
      <c r="E919" s="419"/>
      <c r="F919" s="419"/>
      <c r="G919" s="419"/>
      <c r="H919" s="419"/>
      <c r="I919" s="419"/>
      <c r="J919" s="395" t="s">
        <v>798</v>
      </c>
      <c r="K919" s="395" t="s">
        <v>798</v>
      </c>
      <c r="L919" s="419" t="s">
        <v>798</v>
      </c>
      <c r="M919" s="395" t="s">
        <v>298</v>
      </c>
      <c r="N919" s="395"/>
      <c r="O919" s="395"/>
      <c r="P919" s="419" t="s">
        <v>799</v>
      </c>
      <c r="Q919" s="395" t="s">
        <v>780</v>
      </c>
      <c r="R919" s="422"/>
      <c r="S919" s="423"/>
      <c r="T919" s="398"/>
      <c r="U919" s="424"/>
      <c r="V919" s="419" t="s">
        <v>355</v>
      </c>
      <c r="W919" s="419"/>
      <c r="X919" s="542"/>
      <c r="Y919" s="542"/>
      <c r="Z919" s="542"/>
    </row>
    <row r="920" spans="1:26" ht="14.25" customHeight="1">
      <c r="A920" s="419" t="s">
        <v>2706</v>
      </c>
      <c r="B920" s="441" t="s">
        <v>309</v>
      </c>
      <c r="C920" s="440" t="s">
        <v>2574</v>
      </c>
      <c r="D920" s="472"/>
      <c r="E920" s="542">
        <v>220736</v>
      </c>
      <c r="F920" s="395" t="s">
        <v>2693</v>
      </c>
      <c r="G920" s="395"/>
      <c r="H920" s="395"/>
      <c r="I920" s="395"/>
      <c r="J920" s="395" t="s">
        <v>798</v>
      </c>
      <c r="K920" s="395" t="s">
        <v>798</v>
      </c>
      <c r="L920" s="395" t="s">
        <v>798</v>
      </c>
      <c r="M920" s="395" t="s">
        <v>298</v>
      </c>
      <c r="N920" s="395"/>
      <c r="O920" s="395"/>
      <c r="P920" s="395"/>
      <c r="Q920" s="395"/>
      <c r="R920" s="422"/>
      <c r="S920" s="423"/>
      <c r="T920" s="398"/>
      <c r="U920" s="397"/>
      <c r="V920" s="395"/>
      <c r="W920" s="419"/>
      <c r="X920" s="542"/>
      <c r="Y920" s="542"/>
      <c r="Z920" s="542"/>
    </row>
    <row r="921" spans="1:26" ht="14.25" customHeight="1">
      <c r="A921" s="419" t="s">
        <v>2706</v>
      </c>
      <c r="B921" s="441" t="s">
        <v>309</v>
      </c>
      <c r="C921" s="440" t="s">
        <v>636</v>
      </c>
      <c r="D921" s="472" t="s">
        <v>1654</v>
      </c>
      <c r="E921" s="542" t="s">
        <v>1398</v>
      </c>
      <c r="F921" s="419"/>
      <c r="G921" s="395"/>
      <c r="H921" s="395" t="s">
        <v>42</v>
      </c>
      <c r="I921" s="419"/>
      <c r="J921" s="395" t="s">
        <v>798</v>
      </c>
      <c r="K921" s="419" t="s">
        <v>798</v>
      </c>
      <c r="L921" s="419" t="s">
        <v>1654</v>
      </c>
      <c r="M921" s="395" t="s">
        <v>795</v>
      </c>
      <c r="N921" s="542">
        <v>20.833831</v>
      </c>
      <c r="O921" s="542">
        <v>92.416683000000006</v>
      </c>
      <c r="P921" s="395" t="s">
        <v>761</v>
      </c>
      <c r="Q921" s="395" t="s">
        <v>780</v>
      </c>
      <c r="R921" s="422"/>
      <c r="S921" s="423"/>
      <c r="T921" s="398">
        <v>43248</v>
      </c>
      <c r="U921" s="397" t="s">
        <v>1901</v>
      </c>
      <c r="V921" s="419"/>
      <c r="W921" s="419"/>
      <c r="X921" s="542"/>
      <c r="Y921" s="542"/>
      <c r="Z921" s="542"/>
    </row>
    <row r="922" spans="1:26" ht="14.25" customHeight="1">
      <c r="A922" s="419" t="s">
        <v>2706</v>
      </c>
      <c r="B922" s="441" t="s">
        <v>309</v>
      </c>
      <c r="C922" s="440" t="s">
        <v>1150</v>
      </c>
      <c r="D922" s="472" t="s">
        <v>1654</v>
      </c>
      <c r="E922" s="395"/>
      <c r="F922" s="395"/>
      <c r="G922" s="395"/>
      <c r="H922" s="395"/>
      <c r="I922" s="395"/>
      <c r="J922" s="395" t="s">
        <v>798</v>
      </c>
      <c r="K922" s="395" t="s">
        <v>798</v>
      </c>
      <c r="L922" s="395" t="s">
        <v>798</v>
      </c>
      <c r="M922" s="395" t="s">
        <v>795</v>
      </c>
      <c r="N922" s="434"/>
      <c r="O922" s="434"/>
      <c r="P922" s="419" t="s">
        <v>799</v>
      </c>
      <c r="Q922" s="395"/>
      <c r="R922" s="422"/>
      <c r="S922" s="423"/>
      <c r="T922" s="398"/>
      <c r="U922" s="397"/>
      <c r="V922" s="395" t="s">
        <v>1150</v>
      </c>
      <c r="W922" s="419"/>
      <c r="X922" s="542"/>
      <c r="Y922" s="542"/>
      <c r="Z922" s="542"/>
    </row>
    <row r="923" spans="1:26" ht="14.25" customHeight="1">
      <c r="A923" s="480" t="s">
        <v>2706</v>
      </c>
      <c r="B923" s="481" t="s">
        <v>309</v>
      </c>
      <c r="C923" s="490" t="s">
        <v>2747</v>
      </c>
      <c r="D923" s="547"/>
      <c r="E923" s="482">
        <v>197860</v>
      </c>
      <c r="F923" s="482" t="s">
        <v>2747</v>
      </c>
      <c r="G923" s="482"/>
      <c r="H923" s="482"/>
      <c r="I923" s="482"/>
      <c r="J923" s="482" t="s">
        <v>2715</v>
      </c>
      <c r="K923" s="482" t="s">
        <v>2677</v>
      </c>
      <c r="L923" s="482" t="s">
        <v>2677</v>
      </c>
      <c r="M923" s="482"/>
      <c r="N923" s="482">
        <v>21.1420993804932</v>
      </c>
      <c r="O923" s="482">
        <v>92.338172912597699</v>
      </c>
      <c r="P923" s="482"/>
      <c r="Q923" s="482" t="s">
        <v>2682</v>
      </c>
      <c r="R923" s="483"/>
      <c r="S923" s="480"/>
      <c r="T923" s="484">
        <v>43580</v>
      </c>
      <c r="U923" s="485" t="s">
        <v>2736</v>
      </c>
      <c r="V923" s="486"/>
      <c r="W923" s="548"/>
      <c r="X923" s="542"/>
      <c r="Y923" s="542"/>
      <c r="Z923" s="542"/>
    </row>
    <row r="924" spans="1:26" ht="14.25" customHeight="1">
      <c r="A924" s="419" t="s">
        <v>2706</v>
      </c>
      <c r="B924" s="441" t="s">
        <v>309</v>
      </c>
      <c r="C924" s="440" t="s">
        <v>2102</v>
      </c>
      <c r="D924" s="472"/>
      <c r="E924" s="395">
        <v>197861</v>
      </c>
      <c r="F924" s="395"/>
      <c r="G924" s="395"/>
      <c r="H924" s="395"/>
      <c r="I924" s="395"/>
      <c r="J924" s="395" t="s">
        <v>798</v>
      </c>
      <c r="K924" s="395" t="s">
        <v>798</v>
      </c>
      <c r="L924" s="395" t="s">
        <v>798</v>
      </c>
      <c r="M924" s="395" t="s">
        <v>2090</v>
      </c>
      <c r="N924" s="542">
        <v>21.131010060000001</v>
      </c>
      <c r="O924" s="542">
        <v>92.354011540000002</v>
      </c>
      <c r="P924" s="395"/>
      <c r="Q924" s="395"/>
      <c r="R924" s="422"/>
      <c r="S924" s="423"/>
      <c r="T924" s="398">
        <v>43300</v>
      </c>
      <c r="U924" s="397"/>
      <c r="V924" s="395"/>
      <c r="W924" s="419"/>
      <c r="X924" s="542"/>
      <c r="Y924" s="542"/>
      <c r="Z924" s="542"/>
    </row>
    <row r="925" spans="1:26" ht="14.25" customHeight="1">
      <c r="A925" s="480" t="s">
        <v>2706</v>
      </c>
      <c r="B925" s="481" t="s">
        <v>309</v>
      </c>
      <c r="C925" s="490" t="s">
        <v>2745</v>
      </c>
      <c r="D925" s="547"/>
      <c r="E925" s="482">
        <v>197841</v>
      </c>
      <c r="F925" s="482" t="s">
        <v>2745</v>
      </c>
      <c r="G925" s="482"/>
      <c r="H925" s="482"/>
      <c r="I925" s="482"/>
      <c r="J925" s="395" t="s">
        <v>798</v>
      </c>
      <c r="K925" s="395" t="s">
        <v>798</v>
      </c>
      <c r="L925" s="395" t="s">
        <v>798</v>
      </c>
      <c r="M925" s="482"/>
      <c r="N925" s="482">
        <v>21.2080974578857</v>
      </c>
      <c r="O925" s="482">
        <v>92.308609008789105</v>
      </c>
      <c r="P925" s="482"/>
      <c r="Q925" s="482" t="s">
        <v>2682</v>
      </c>
      <c r="R925" s="483"/>
      <c r="S925" s="480"/>
      <c r="T925" s="484">
        <v>43580</v>
      </c>
      <c r="U925" s="485" t="s">
        <v>2736</v>
      </c>
      <c r="V925" s="486"/>
      <c r="W925" s="548"/>
      <c r="X925" s="542"/>
      <c r="Y925" s="542"/>
      <c r="Z925" s="542"/>
    </row>
    <row r="926" spans="1:26" ht="14.25" customHeight="1">
      <c r="A926" s="419" t="s">
        <v>2706</v>
      </c>
      <c r="B926" s="441" t="s">
        <v>309</v>
      </c>
      <c r="C926" s="440" t="s">
        <v>2107</v>
      </c>
      <c r="D926" s="472"/>
      <c r="E926" s="395">
        <v>197842</v>
      </c>
      <c r="F926" s="542"/>
      <c r="G926" s="395"/>
      <c r="H926" s="395"/>
      <c r="I926" s="395"/>
      <c r="J926" s="395" t="s">
        <v>798</v>
      </c>
      <c r="K926" s="395" t="s">
        <v>798</v>
      </c>
      <c r="L926" s="395" t="s">
        <v>798</v>
      </c>
      <c r="M926" s="395" t="s">
        <v>2092</v>
      </c>
      <c r="N926" s="395">
        <v>21.210039139999999</v>
      </c>
      <c r="O926" s="395">
        <v>92.297286990000003</v>
      </c>
      <c r="P926" s="395"/>
      <c r="Q926" s="395"/>
      <c r="R926" s="422"/>
      <c r="S926" s="396"/>
      <c r="T926" s="398">
        <v>43300</v>
      </c>
      <c r="U926" s="397"/>
      <c r="V926" s="395"/>
      <c r="W926" s="419"/>
      <c r="X926" s="542"/>
      <c r="Y926" s="542"/>
      <c r="Z926" s="542"/>
    </row>
    <row r="927" spans="1:26" ht="14.25" customHeight="1">
      <c r="A927" s="419" t="s">
        <v>2706</v>
      </c>
      <c r="B927" s="441" t="s">
        <v>309</v>
      </c>
      <c r="C927" s="440" t="s">
        <v>686</v>
      </c>
      <c r="D927" s="472" t="s">
        <v>1654</v>
      </c>
      <c r="E927" s="395">
        <v>197867</v>
      </c>
      <c r="F927" s="395"/>
      <c r="G927" s="395"/>
      <c r="H927" s="395"/>
      <c r="I927" s="395"/>
      <c r="J927" s="395" t="s">
        <v>798</v>
      </c>
      <c r="K927" s="395" t="s">
        <v>798</v>
      </c>
      <c r="L927" s="395" t="s">
        <v>798</v>
      </c>
      <c r="M927" s="395" t="s">
        <v>795</v>
      </c>
      <c r="N927" s="395">
        <v>21.057630540000002</v>
      </c>
      <c r="O927" s="395">
        <v>92.340232850000007</v>
      </c>
      <c r="P927" s="395" t="s">
        <v>799</v>
      </c>
      <c r="Q927" s="395" t="s">
        <v>780</v>
      </c>
      <c r="R927" s="422"/>
      <c r="S927" s="423"/>
      <c r="T927" s="398"/>
      <c r="U927" s="397"/>
      <c r="V927" s="395" t="s">
        <v>686</v>
      </c>
      <c r="W927" s="419"/>
      <c r="X927" s="542"/>
      <c r="Y927" s="542"/>
      <c r="Z927" s="542"/>
    </row>
    <row r="928" spans="1:26" ht="14.25" customHeight="1">
      <c r="A928" s="542" t="s">
        <v>2706</v>
      </c>
      <c r="B928" s="566" t="s">
        <v>309</v>
      </c>
      <c r="C928" s="565" t="s">
        <v>677</v>
      </c>
      <c r="D928" s="472" t="s">
        <v>1654</v>
      </c>
      <c r="E928" s="546">
        <v>197893</v>
      </c>
      <c r="F928" s="542"/>
      <c r="G928" s="542"/>
      <c r="H928" s="542"/>
      <c r="I928" s="542"/>
      <c r="J928" s="395" t="s">
        <v>798</v>
      </c>
      <c r="K928" s="395" t="s">
        <v>798</v>
      </c>
      <c r="L928" s="395" t="s">
        <v>798</v>
      </c>
      <c r="M928" s="395" t="s">
        <v>298</v>
      </c>
      <c r="N928" s="395">
        <v>21.009420389999999</v>
      </c>
      <c r="O928" s="395">
        <v>92.318077090000003</v>
      </c>
      <c r="P928" s="395" t="s">
        <v>799</v>
      </c>
      <c r="Q928" s="542" t="s">
        <v>802</v>
      </c>
      <c r="R928" s="548"/>
      <c r="S928" s="549"/>
      <c r="T928" s="568">
        <v>42926</v>
      </c>
      <c r="U928" s="550" t="s">
        <v>803</v>
      </c>
      <c r="V928" s="395"/>
      <c r="W928" s="542"/>
      <c r="X928" s="542"/>
      <c r="Y928" s="542"/>
      <c r="Z928" s="542"/>
    </row>
    <row r="929" spans="1:26" ht="14.25" customHeight="1">
      <c r="A929" s="419" t="s">
        <v>2706</v>
      </c>
      <c r="B929" s="441" t="s">
        <v>309</v>
      </c>
      <c r="C929" s="440" t="s">
        <v>627</v>
      </c>
      <c r="D929" s="472" t="s">
        <v>1654</v>
      </c>
      <c r="E929" s="546">
        <v>197990</v>
      </c>
      <c r="F929" s="395"/>
      <c r="G929" s="395"/>
      <c r="H929" s="395"/>
      <c r="I929" s="395"/>
      <c r="J929" s="395" t="s">
        <v>798</v>
      </c>
      <c r="K929" s="395" t="s">
        <v>798</v>
      </c>
      <c r="L929" s="395" t="s">
        <v>798</v>
      </c>
      <c r="M929" s="395" t="s">
        <v>795</v>
      </c>
      <c r="N929" s="560">
        <v>20.824769969999998</v>
      </c>
      <c r="O929" s="560">
        <v>92.398788449999998</v>
      </c>
      <c r="P929" s="395" t="s">
        <v>799</v>
      </c>
      <c r="Q929" s="395" t="s">
        <v>780</v>
      </c>
      <c r="R929" s="422"/>
      <c r="S929" s="396"/>
      <c r="T929" s="398"/>
      <c r="U929" s="397"/>
      <c r="V929" s="395" t="s">
        <v>942</v>
      </c>
      <c r="W929" s="419"/>
      <c r="X929" s="542"/>
      <c r="Y929" s="542"/>
      <c r="Z929" s="542"/>
    </row>
    <row r="930" spans="1:26" ht="14.25" customHeight="1">
      <c r="A930" s="419" t="s">
        <v>2706</v>
      </c>
      <c r="B930" s="441" t="s">
        <v>309</v>
      </c>
      <c r="C930" s="440" t="s">
        <v>628</v>
      </c>
      <c r="D930" s="472" t="s">
        <v>1654</v>
      </c>
      <c r="E930" s="395">
        <v>197990</v>
      </c>
      <c r="F930" s="395"/>
      <c r="G930" s="395"/>
      <c r="H930" s="395"/>
      <c r="I930" s="395"/>
      <c r="J930" s="395" t="s">
        <v>798</v>
      </c>
      <c r="K930" s="395" t="s">
        <v>798</v>
      </c>
      <c r="L930" s="395" t="s">
        <v>798</v>
      </c>
      <c r="M930" s="395" t="s">
        <v>795</v>
      </c>
      <c r="N930" s="560">
        <v>20.824769969999998</v>
      </c>
      <c r="O930" s="560">
        <v>92.398788449999998</v>
      </c>
      <c r="P930" s="395" t="s">
        <v>799</v>
      </c>
      <c r="Q930" s="395" t="s">
        <v>780</v>
      </c>
      <c r="R930" s="422"/>
      <c r="S930" s="396"/>
      <c r="T930" s="398"/>
      <c r="U930" s="397"/>
      <c r="V930" s="395" t="s">
        <v>942</v>
      </c>
      <c r="W930" s="419"/>
      <c r="X930" s="542"/>
      <c r="Y930" s="542"/>
      <c r="Z930" s="542"/>
    </row>
    <row r="931" spans="1:26" ht="14.25" customHeight="1">
      <c r="A931" s="419" t="s">
        <v>2706</v>
      </c>
      <c r="B931" s="441" t="s">
        <v>309</v>
      </c>
      <c r="C931" s="440" t="s">
        <v>356</v>
      </c>
      <c r="D931" s="472" t="s">
        <v>1654</v>
      </c>
      <c r="E931" s="395"/>
      <c r="F931" s="395"/>
      <c r="G931" s="395"/>
      <c r="H931" s="395"/>
      <c r="I931" s="395"/>
      <c r="J931" s="395" t="s">
        <v>798</v>
      </c>
      <c r="K931" s="419" t="s">
        <v>798</v>
      </c>
      <c r="L931" s="395" t="s">
        <v>798</v>
      </c>
      <c r="M931" s="395" t="s">
        <v>795</v>
      </c>
      <c r="N931" s="560"/>
      <c r="O931" s="560"/>
      <c r="P931" s="395" t="s">
        <v>799</v>
      </c>
      <c r="Q931" s="395" t="s">
        <v>780</v>
      </c>
      <c r="R931" s="422"/>
      <c r="S931" s="423"/>
      <c r="T931" s="398"/>
      <c r="U931" s="397"/>
      <c r="V931" s="395" t="s">
        <v>356</v>
      </c>
      <c r="W931" s="419"/>
      <c r="X931" s="542"/>
      <c r="Y931" s="542"/>
      <c r="Z931" s="542"/>
    </row>
    <row r="932" spans="1:26" ht="14.25" customHeight="1">
      <c r="A932" s="419" t="s">
        <v>2706</v>
      </c>
      <c r="B932" s="441" t="s">
        <v>309</v>
      </c>
      <c r="C932" s="440" t="s">
        <v>357</v>
      </c>
      <c r="D932" s="472" t="s">
        <v>1654</v>
      </c>
      <c r="E932" s="395"/>
      <c r="F932" s="395"/>
      <c r="G932" s="395"/>
      <c r="H932" s="395"/>
      <c r="I932" s="395"/>
      <c r="J932" s="395" t="s">
        <v>798</v>
      </c>
      <c r="K932" s="419" t="s">
        <v>798</v>
      </c>
      <c r="L932" s="419" t="s">
        <v>798</v>
      </c>
      <c r="M932" s="395" t="s">
        <v>298</v>
      </c>
      <c r="N932" s="560"/>
      <c r="O932" s="560"/>
      <c r="P932" s="395" t="s">
        <v>799</v>
      </c>
      <c r="Q932" s="395" t="s">
        <v>780</v>
      </c>
      <c r="R932" s="422"/>
      <c r="S932" s="396"/>
      <c r="T932" s="398"/>
      <c r="U932" s="397"/>
      <c r="V932" s="395" t="s">
        <v>357</v>
      </c>
      <c r="W932" s="419"/>
      <c r="X932" s="542"/>
      <c r="Y932" s="542"/>
      <c r="Z932" s="542"/>
    </row>
    <row r="933" spans="1:26" ht="14.25" customHeight="1">
      <c r="A933" s="419" t="s">
        <v>2706</v>
      </c>
      <c r="B933" s="441" t="s">
        <v>309</v>
      </c>
      <c r="C933" s="440" t="s">
        <v>630</v>
      </c>
      <c r="D933" s="472" t="s">
        <v>1654</v>
      </c>
      <c r="E933" s="395" t="s">
        <v>1396</v>
      </c>
      <c r="F933" s="546"/>
      <c r="G933" s="395"/>
      <c r="H933" s="395" t="s">
        <v>42</v>
      </c>
      <c r="I933" s="395"/>
      <c r="J933" s="395" t="s">
        <v>798</v>
      </c>
      <c r="K933" s="395" t="s">
        <v>798</v>
      </c>
      <c r="L933" s="395" t="s">
        <v>1654</v>
      </c>
      <c r="M933" s="395" t="s">
        <v>795</v>
      </c>
      <c r="N933" s="560">
        <v>20.825306000000001</v>
      </c>
      <c r="O933" s="560">
        <v>92.367852999999997</v>
      </c>
      <c r="P933" s="395" t="s">
        <v>761</v>
      </c>
      <c r="Q933" s="395" t="s">
        <v>780</v>
      </c>
      <c r="R933" s="422"/>
      <c r="S933" s="423"/>
      <c r="T933" s="398">
        <v>43248</v>
      </c>
      <c r="U933" s="397" t="s">
        <v>1901</v>
      </c>
      <c r="V933" s="395"/>
      <c r="W933" s="419"/>
      <c r="X933" s="542"/>
      <c r="Y933" s="542"/>
      <c r="Z933" s="542"/>
    </row>
    <row r="934" spans="1:26" ht="14.25" customHeight="1">
      <c r="A934" s="419" t="s">
        <v>2706</v>
      </c>
      <c r="B934" s="441" t="s">
        <v>309</v>
      </c>
      <c r="C934" s="440" t="s">
        <v>615</v>
      </c>
      <c r="D934" s="472" t="s">
        <v>1654</v>
      </c>
      <c r="E934" s="395">
        <v>197996</v>
      </c>
      <c r="F934" s="574" t="s">
        <v>2065</v>
      </c>
      <c r="G934" s="395"/>
      <c r="H934" s="395"/>
      <c r="I934" s="395"/>
      <c r="J934" s="395" t="s">
        <v>798</v>
      </c>
      <c r="K934" s="395" t="s">
        <v>798</v>
      </c>
      <c r="L934" s="395" t="s">
        <v>798</v>
      </c>
      <c r="M934" s="395" t="s">
        <v>795</v>
      </c>
      <c r="N934" s="395">
        <v>20.805980680000001</v>
      </c>
      <c r="O934" s="395">
        <v>92.383308409999998</v>
      </c>
      <c r="P934" s="395" t="s">
        <v>799</v>
      </c>
      <c r="Q934" s="395" t="s">
        <v>780</v>
      </c>
      <c r="R934" s="422"/>
      <c r="S934" s="396"/>
      <c r="T934" s="398"/>
      <c r="U934" s="397"/>
      <c r="V934" s="395" t="s">
        <v>937</v>
      </c>
      <c r="W934" s="542"/>
      <c r="X934" s="542"/>
      <c r="Y934" s="542"/>
      <c r="Z934" s="542"/>
    </row>
    <row r="935" spans="1:26" ht="14.25" customHeight="1">
      <c r="A935" s="419" t="s">
        <v>2706</v>
      </c>
      <c r="B935" s="566" t="s">
        <v>309</v>
      </c>
      <c r="C935" s="565" t="s">
        <v>616</v>
      </c>
      <c r="D935" s="472" t="s">
        <v>1654</v>
      </c>
      <c r="E935" s="395">
        <v>197996</v>
      </c>
      <c r="F935" s="542"/>
      <c r="G935" s="395"/>
      <c r="H935" s="395"/>
      <c r="I935" s="395"/>
      <c r="J935" s="395" t="s">
        <v>798</v>
      </c>
      <c r="K935" s="395" t="s">
        <v>798</v>
      </c>
      <c r="L935" s="395" t="s">
        <v>798</v>
      </c>
      <c r="M935" s="395" t="s">
        <v>795</v>
      </c>
      <c r="N935" s="395">
        <v>20.805980680000001</v>
      </c>
      <c r="O935" s="395">
        <v>92.383308409999998</v>
      </c>
      <c r="P935" s="395" t="s">
        <v>799</v>
      </c>
      <c r="Q935" s="395" t="s">
        <v>780</v>
      </c>
      <c r="R935" s="548"/>
      <c r="S935" s="396"/>
      <c r="T935" s="398"/>
      <c r="U935" s="397"/>
      <c r="V935" s="395" t="s">
        <v>938</v>
      </c>
      <c r="W935" s="542"/>
      <c r="X935" s="542"/>
      <c r="Y935" s="542"/>
      <c r="Z935" s="542"/>
    </row>
    <row r="936" spans="1:26" ht="14.25" customHeight="1">
      <c r="A936" s="480" t="s">
        <v>2706</v>
      </c>
      <c r="B936" s="481" t="s">
        <v>309</v>
      </c>
      <c r="C936" s="490" t="s">
        <v>567</v>
      </c>
      <c r="D936" s="472" t="s">
        <v>1654</v>
      </c>
      <c r="E936" s="395">
        <v>198045</v>
      </c>
      <c r="F936" s="482"/>
      <c r="G936" s="482"/>
      <c r="H936" s="482"/>
      <c r="I936" s="482"/>
      <c r="J936" s="395" t="s">
        <v>798</v>
      </c>
      <c r="K936" s="395" t="s">
        <v>798</v>
      </c>
      <c r="L936" s="395" t="s">
        <v>798</v>
      </c>
      <c r="M936" s="395" t="s">
        <v>795</v>
      </c>
      <c r="N936" s="395">
        <v>20.71759033</v>
      </c>
      <c r="O936" s="395">
        <v>92.426422119999998</v>
      </c>
      <c r="P936" s="395" t="s">
        <v>799</v>
      </c>
      <c r="Q936" s="482" t="s">
        <v>2682</v>
      </c>
      <c r="R936" s="483"/>
      <c r="S936" s="480"/>
      <c r="T936" s="484">
        <v>43580</v>
      </c>
      <c r="U936" s="485" t="s">
        <v>2736</v>
      </c>
      <c r="V936" s="395" t="s">
        <v>567</v>
      </c>
      <c r="W936" s="422"/>
      <c r="X936" s="542"/>
      <c r="Y936" s="542"/>
      <c r="Z936" s="542"/>
    </row>
    <row r="937" spans="1:26" ht="14.25" customHeight="1">
      <c r="A937" s="419" t="s">
        <v>2706</v>
      </c>
      <c r="B937" s="441" t="s">
        <v>309</v>
      </c>
      <c r="C937" s="440" t="s">
        <v>2067</v>
      </c>
      <c r="D937" s="472"/>
      <c r="E937" s="419">
        <v>220744</v>
      </c>
      <c r="F937" s="395"/>
      <c r="G937" s="395"/>
      <c r="H937" s="395"/>
      <c r="I937" s="395"/>
      <c r="J937" s="395" t="s">
        <v>798</v>
      </c>
      <c r="K937" s="419" t="s">
        <v>798</v>
      </c>
      <c r="L937" s="419" t="s">
        <v>798</v>
      </c>
      <c r="M937" s="395" t="s">
        <v>298</v>
      </c>
      <c r="N937" s="395">
        <v>20.71612167</v>
      </c>
      <c r="O937" s="395">
        <v>92.442459110000001</v>
      </c>
      <c r="P937" s="395"/>
      <c r="Q937" s="395"/>
      <c r="R937" s="422"/>
      <c r="S937" s="396"/>
      <c r="T937" s="398">
        <v>43300</v>
      </c>
      <c r="U937" s="397"/>
      <c r="V937" s="395"/>
      <c r="W937" s="542"/>
      <c r="X937" s="542"/>
      <c r="Y937" s="542"/>
      <c r="Z937" s="542"/>
    </row>
    <row r="938" spans="1:26" ht="14.25" customHeight="1">
      <c r="A938" s="419" t="s">
        <v>2706</v>
      </c>
      <c r="B938" s="441" t="s">
        <v>309</v>
      </c>
      <c r="C938" s="440" t="s">
        <v>2068</v>
      </c>
      <c r="D938" s="472"/>
      <c r="E938" s="419"/>
      <c r="F938" s="419"/>
      <c r="G938" s="419"/>
      <c r="H938" s="395"/>
      <c r="I938" s="395"/>
      <c r="J938" s="395" t="s">
        <v>798</v>
      </c>
      <c r="K938" s="419" t="s">
        <v>798</v>
      </c>
      <c r="L938" s="419" t="s">
        <v>798</v>
      </c>
      <c r="M938" s="395" t="s">
        <v>2090</v>
      </c>
      <c r="N938" s="395"/>
      <c r="O938" s="419"/>
      <c r="P938" s="419"/>
      <c r="Q938" s="395"/>
      <c r="R938" s="548"/>
      <c r="S938" s="549"/>
      <c r="T938" s="398">
        <v>43300</v>
      </c>
      <c r="U938" s="424"/>
      <c r="V938" s="419"/>
      <c r="W938" s="542"/>
      <c r="X938" s="542"/>
      <c r="Y938" s="542"/>
      <c r="Z938" s="542"/>
    </row>
    <row r="939" spans="1:26" ht="14.25" customHeight="1">
      <c r="A939" s="419" t="s">
        <v>2706</v>
      </c>
      <c r="B939" s="441" t="s">
        <v>309</v>
      </c>
      <c r="C939" s="440" t="s">
        <v>908</v>
      </c>
      <c r="D939" s="472"/>
      <c r="E939" s="542">
        <v>197938</v>
      </c>
      <c r="F939" s="395"/>
      <c r="G939" s="395"/>
      <c r="H939" s="395"/>
      <c r="I939" s="395"/>
      <c r="J939" s="395" t="s">
        <v>798</v>
      </c>
      <c r="K939" s="395" t="s">
        <v>798</v>
      </c>
      <c r="L939" s="395" t="s">
        <v>798</v>
      </c>
      <c r="M939" s="395" t="s">
        <v>795</v>
      </c>
      <c r="N939" s="395">
        <v>20.84098053</v>
      </c>
      <c r="O939" s="395">
        <v>92.35720062</v>
      </c>
      <c r="P939" s="395"/>
      <c r="Q939" s="395"/>
      <c r="R939" s="422"/>
      <c r="S939" s="423"/>
      <c r="T939" s="398">
        <v>43300</v>
      </c>
      <c r="U939" s="397"/>
      <c r="V939" s="419"/>
      <c r="W939" s="542"/>
      <c r="X939" s="542"/>
      <c r="Y939" s="542"/>
      <c r="Z939" s="542"/>
    </row>
    <row r="940" spans="1:26" ht="14.25" customHeight="1">
      <c r="A940" s="542" t="s">
        <v>2706</v>
      </c>
      <c r="B940" s="566" t="s">
        <v>309</v>
      </c>
      <c r="C940" s="565" t="s">
        <v>674</v>
      </c>
      <c r="D940" s="472" t="s">
        <v>1654</v>
      </c>
      <c r="E940" s="395">
        <v>197903</v>
      </c>
      <c r="F940" s="395"/>
      <c r="G940" s="395"/>
      <c r="H940" s="395"/>
      <c r="I940" s="395"/>
      <c r="J940" s="395" t="s">
        <v>798</v>
      </c>
      <c r="K940" s="395" t="s">
        <v>798</v>
      </c>
      <c r="L940" s="395" t="s">
        <v>798</v>
      </c>
      <c r="M940" s="395" t="s">
        <v>795</v>
      </c>
      <c r="N940" s="419">
        <v>21.000970840000001</v>
      </c>
      <c r="O940" s="419">
        <v>92.334213259999999</v>
      </c>
      <c r="P940" s="395" t="s">
        <v>799</v>
      </c>
      <c r="Q940" s="395" t="s">
        <v>802</v>
      </c>
      <c r="R940" s="548"/>
      <c r="S940" s="396"/>
      <c r="T940" s="398">
        <v>42926</v>
      </c>
      <c r="U940" s="550" t="s">
        <v>803</v>
      </c>
      <c r="V940" s="565"/>
      <c r="W940" s="542"/>
      <c r="X940" s="542"/>
      <c r="Y940" s="542"/>
      <c r="Z940" s="542"/>
    </row>
    <row r="941" spans="1:26" ht="14.25" customHeight="1">
      <c r="A941" s="419" t="s">
        <v>2706</v>
      </c>
      <c r="B941" s="441" t="s">
        <v>309</v>
      </c>
      <c r="C941" s="440" t="s">
        <v>532</v>
      </c>
      <c r="D941" s="472" t="s">
        <v>1654</v>
      </c>
      <c r="E941" s="419">
        <v>198026</v>
      </c>
      <c r="F941" s="419"/>
      <c r="G941" s="419"/>
      <c r="H941" s="419"/>
      <c r="I941" s="419"/>
      <c r="J941" s="395" t="s">
        <v>798</v>
      </c>
      <c r="K941" s="419" t="s">
        <v>798</v>
      </c>
      <c r="L941" s="419" t="s">
        <v>798</v>
      </c>
      <c r="M941" s="395" t="s">
        <v>795</v>
      </c>
      <c r="N941" s="419">
        <v>20.671619419999999</v>
      </c>
      <c r="O941" s="419">
        <v>92.473846440000003</v>
      </c>
      <c r="P941" s="395" t="s">
        <v>799</v>
      </c>
      <c r="Q941" s="395" t="s">
        <v>780</v>
      </c>
      <c r="R941" s="422"/>
      <c r="S941" s="423"/>
      <c r="T941" s="398"/>
      <c r="U941" s="424"/>
      <c r="V941" s="419" t="s">
        <v>925</v>
      </c>
      <c r="W941" s="542"/>
      <c r="X941" s="542"/>
      <c r="Y941" s="542"/>
      <c r="Z941" s="542"/>
    </row>
    <row r="942" spans="1:26" ht="14.25" customHeight="1">
      <c r="A942" s="419" t="s">
        <v>2706</v>
      </c>
      <c r="B942" s="441" t="s">
        <v>341</v>
      </c>
      <c r="C942" s="440" t="s">
        <v>499</v>
      </c>
      <c r="D942" s="472" t="s">
        <v>1654</v>
      </c>
      <c r="E942" s="395">
        <v>197602</v>
      </c>
      <c r="F942" s="395"/>
      <c r="G942" s="395"/>
      <c r="H942" s="419"/>
      <c r="I942" s="395"/>
      <c r="J942" s="395" t="s">
        <v>798</v>
      </c>
      <c r="K942" s="395" t="s">
        <v>798</v>
      </c>
      <c r="L942" s="395" t="s">
        <v>798</v>
      </c>
      <c r="M942" s="395" t="s">
        <v>795</v>
      </c>
      <c r="N942" s="419">
        <v>20.547620770000002</v>
      </c>
      <c r="O942" s="419">
        <v>92.671058650000006</v>
      </c>
      <c r="P942" s="395" t="s">
        <v>799</v>
      </c>
      <c r="Q942" s="395" t="s">
        <v>780</v>
      </c>
      <c r="R942" s="422"/>
      <c r="S942" s="423"/>
      <c r="T942" s="398"/>
      <c r="U942" s="397"/>
      <c r="V942" s="395" t="s">
        <v>499</v>
      </c>
      <c r="W942" s="422"/>
      <c r="X942" s="542"/>
      <c r="Y942" s="542"/>
      <c r="Z942" s="542"/>
    </row>
    <row r="943" spans="1:26" ht="14.25" customHeight="1">
      <c r="A943" s="542" t="s">
        <v>2706</v>
      </c>
      <c r="B943" s="446" t="s">
        <v>341</v>
      </c>
      <c r="C943" s="447" t="s">
        <v>505</v>
      </c>
      <c r="D943" s="421" t="s">
        <v>1654</v>
      </c>
      <c r="E943" s="395" t="s">
        <v>1381</v>
      </c>
      <c r="F943" s="574"/>
      <c r="G943" s="395"/>
      <c r="H943" s="395" t="s">
        <v>42</v>
      </c>
      <c r="I943" s="395"/>
      <c r="J943" s="395" t="s">
        <v>798</v>
      </c>
      <c r="K943" s="395" t="s">
        <v>798</v>
      </c>
      <c r="L943" s="395" t="s">
        <v>1654</v>
      </c>
      <c r="M943" s="395" t="s">
        <v>795</v>
      </c>
      <c r="N943" s="395">
        <v>20.569219</v>
      </c>
      <c r="O943" s="395">
        <v>92.640022000000002</v>
      </c>
      <c r="P943" s="395" t="s">
        <v>761</v>
      </c>
      <c r="Q943" s="395" t="s">
        <v>780</v>
      </c>
      <c r="R943" s="430"/>
      <c r="S943" s="396"/>
      <c r="T943" s="398"/>
      <c r="U943" s="550"/>
      <c r="V943" s="395" t="s">
        <v>505</v>
      </c>
      <c r="W943" s="422"/>
      <c r="X943" s="542"/>
      <c r="Y943" s="542"/>
      <c r="Z943" s="542"/>
    </row>
    <row r="944" spans="1:26" ht="14.25" customHeight="1">
      <c r="A944" s="419" t="s">
        <v>2706</v>
      </c>
      <c r="B944" s="441" t="s">
        <v>341</v>
      </c>
      <c r="C944" s="440" t="s">
        <v>502</v>
      </c>
      <c r="D944" s="472" t="s">
        <v>1654</v>
      </c>
      <c r="E944" s="395">
        <v>197593</v>
      </c>
      <c r="F944" s="395"/>
      <c r="G944" s="395"/>
      <c r="H944" s="395"/>
      <c r="I944" s="395"/>
      <c r="J944" s="395" t="s">
        <v>798</v>
      </c>
      <c r="K944" s="395" t="s">
        <v>798</v>
      </c>
      <c r="L944" s="395" t="s">
        <v>798</v>
      </c>
      <c r="M944" s="395" t="s">
        <v>795</v>
      </c>
      <c r="N944" s="395">
        <v>20.555610659999999</v>
      </c>
      <c r="O944" s="395">
        <v>92.643516539999993</v>
      </c>
      <c r="P944" s="395" t="s">
        <v>799</v>
      </c>
      <c r="Q944" s="395" t="s">
        <v>802</v>
      </c>
      <c r="R944" s="422"/>
      <c r="S944" s="396"/>
      <c r="T944" s="398">
        <v>42926</v>
      </c>
      <c r="U944" s="397" t="s">
        <v>803</v>
      </c>
      <c r="V944" s="395"/>
      <c r="W944" s="422"/>
      <c r="X944" s="542"/>
      <c r="Y944" s="542"/>
      <c r="Z944" s="542"/>
    </row>
    <row r="945" spans="1:26" ht="14.25" customHeight="1">
      <c r="A945" s="419" t="s">
        <v>2706</v>
      </c>
      <c r="B945" s="441" t="s">
        <v>341</v>
      </c>
      <c r="C945" s="440" t="s">
        <v>503</v>
      </c>
      <c r="D945" s="472" t="s">
        <v>1654</v>
      </c>
      <c r="E945" s="395">
        <v>197593</v>
      </c>
      <c r="F945" s="395"/>
      <c r="G945" s="395"/>
      <c r="H945" s="395"/>
      <c r="I945" s="419"/>
      <c r="J945" s="395" t="s">
        <v>798</v>
      </c>
      <c r="K945" s="395" t="s">
        <v>798</v>
      </c>
      <c r="L945" s="395" t="s">
        <v>798</v>
      </c>
      <c r="M945" s="395" t="s">
        <v>298</v>
      </c>
      <c r="N945" s="419">
        <v>20.555610659999999</v>
      </c>
      <c r="O945" s="419">
        <v>92.643516539999993</v>
      </c>
      <c r="P945" s="395" t="s">
        <v>799</v>
      </c>
      <c r="Q945" s="395" t="s">
        <v>780</v>
      </c>
      <c r="R945" s="422"/>
      <c r="S945" s="423"/>
      <c r="T945" s="398" t="s">
        <v>805</v>
      </c>
      <c r="U945" s="397"/>
      <c r="V945" s="395"/>
      <c r="W945" s="422"/>
      <c r="X945" s="542"/>
      <c r="Y945" s="542"/>
      <c r="Z945" s="542"/>
    </row>
    <row r="946" spans="1:26" ht="14.25" customHeight="1">
      <c r="A946" s="419" t="s">
        <v>2706</v>
      </c>
      <c r="B946" s="441" t="s">
        <v>341</v>
      </c>
      <c r="C946" s="440" t="s">
        <v>524</v>
      </c>
      <c r="D946" s="472" t="s">
        <v>1654</v>
      </c>
      <c r="E946" s="395">
        <v>197691</v>
      </c>
      <c r="F946" s="395"/>
      <c r="G946" s="395"/>
      <c r="H946" s="395"/>
      <c r="I946" s="395"/>
      <c r="J946" s="419" t="s">
        <v>798</v>
      </c>
      <c r="K946" s="395" t="s">
        <v>798</v>
      </c>
      <c r="L946" s="395" t="s">
        <v>798</v>
      </c>
      <c r="M946" s="395" t="s">
        <v>298</v>
      </c>
      <c r="N946" s="395">
        <v>20.65517998</v>
      </c>
      <c r="O946" s="395">
        <v>92.720321659999996</v>
      </c>
      <c r="P946" s="395" t="s">
        <v>799</v>
      </c>
      <c r="Q946" s="395" t="s">
        <v>780</v>
      </c>
      <c r="R946" s="552"/>
      <c r="S946" s="553"/>
      <c r="T946" s="398" t="s">
        <v>805</v>
      </c>
      <c r="U946" s="397"/>
      <c r="V946" s="395"/>
      <c r="W946" s="422"/>
      <c r="X946" s="542"/>
      <c r="Y946" s="542"/>
      <c r="Z946" s="542"/>
    </row>
    <row r="947" spans="1:26" ht="14.25" customHeight="1">
      <c r="A947" s="419" t="s">
        <v>2706</v>
      </c>
      <c r="B947" s="441" t="s">
        <v>341</v>
      </c>
      <c r="C947" s="440" t="s">
        <v>470</v>
      </c>
      <c r="D947" s="472" t="s">
        <v>2313</v>
      </c>
      <c r="E947" s="546" t="s">
        <v>1373</v>
      </c>
      <c r="F947" s="395" t="s">
        <v>470</v>
      </c>
      <c r="G947" s="395" t="s">
        <v>470</v>
      </c>
      <c r="H947" s="395"/>
      <c r="I947" s="395"/>
      <c r="J947" s="419" t="s">
        <v>798</v>
      </c>
      <c r="K947" s="395" t="s">
        <v>798</v>
      </c>
      <c r="L947" s="395" t="s">
        <v>883</v>
      </c>
      <c r="M947" s="395" t="s">
        <v>795</v>
      </c>
      <c r="N947" s="395">
        <v>20.399269</v>
      </c>
      <c r="O947" s="395">
        <v>92.781294000000003</v>
      </c>
      <c r="P947" s="395" t="s">
        <v>799</v>
      </c>
      <c r="Q947" s="395" t="s">
        <v>780</v>
      </c>
      <c r="R947" s="422">
        <v>32</v>
      </c>
      <c r="S947" s="423">
        <v>157</v>
      </c>
      <c r="T947" s="398"/>
      <c r="U947" s="397"/>
      <c r="V947" s="395" t="s">
        <v>470</v>
      </c>
      <c r="W947" s="422"/>
      <c r="X947" s="542"/>
      <c r="Y947" s="542"/>
      <c r="Z947" s="542"/>
    </row>
    <row r="948" spans="1:26" ht="14.25" customHeight="1">
      <c r="A948" s="552" t="s">
        <v>2706</v>
      </c>
      <c r="B948" s="577" t="s">
        <v>341</v>
      </c>
      <c r="C948" s="578" t="s">
        <v>2880</v>
      </c>
      <c r="D948" s="547"/>
      <c r="E948" s="395" t="s">
        <v>2881</v>
      </c>
      <c r="F948" s="395"/>
      <c r="G948" s="395"/>
      <c r="H948" s="395"/>
      <c r="I948" s="419"/>
      <c r="J948" s="395" t="s">
        <v>2715</v>
      </c>
      <c r="K948" s="395" t="s">
        <v>2677</v>
      </c>
      <c r="L948" s="395" t="s">
        <v>2677</v>
      </c>
      <c r="M948" s="395"/>
      <c r="N948" s="419"/>
      <c r="O948" s="419"/>
      <c r="P948" s="395"/>
      <c r="Q948" s="395"/>
      <c r="R948" s="556"/>
      <c r="S948" s="423"/>
      <c r="T948" s="398">
        <v>43591</v>
      </c>
      <c r="U948" s="556"/>
      <c r="V948" s="553" t="s">
        <v>2845</v>
      </c>
      <c r="W948" s="422"/>
      <c r="X948" s="542"/>
      <c r="Y948" s="542"/>
      <c r="Z948" s="542"/>
    </row>
    <row r="949" spans="1:26" ht="14.25" customHeight="1">
      <c r="A949" s="419" t="s">
        <v>2706</v>
      </c>
      <c r="B949" s="441" t="s">
        <v>341</v>
      </c>
      <c r="C949" s="440" t="s">
        <v>539</v>
      </c>
      <c r="D949" s="472" t="s">
        <v>1654</v>
      </c>
      <c r="E949" s="395">
        <v>197674</v>
      </c>
      <c r="F949" s="395"/>
      <c r="G949" s="395"/>
      <c r="H949" s="419"/>
      <c r="I949" s="419"/>
      <c r="J949" s="395" t="s">
        <v>798</v>
      </c>
      <c r="K949" s="419" t="s">
        <v>798</v>
      </c>
      <c r="L949" s="419" t="s">
        <v>798</v>
      </c>
      <c r="M949" s="395" t="s">
        <v>795</v>
      </c>
      <c r="N949" s="419">
        <v>20.67845917</v>
      </c>
      <c r="O949" s="419">
        <v>92.663757320000002</v>
      </c>
      <c r="P949" s="395" t="s">
        <v>799</v>
      </c>
      <c r="Q949" s="395" t="s">
        <v>780</v>
      </c>
      <c r="R949" s="422"/>
      <c r="S949" s="423"/>
      <c r="T949" s="398" t="s">
        <v>805</v>
      </c>
      <c r="U949" s="397"/>
      <c r="V949" s="395"/>
      <c r="W949" s="422"/>
      <c r="X949" s="542"/>
      <c r="Y949" s="542"/>
      <c r="Z949" s="542"/>
    </row>
    <row r="950" spans="1:26" ht="14.25" customHeight="1">
      <c r="A950" s="419" t="s">
        <v>2706</v>
      </c>
      <c r="B950" s="566" t="s">
        <v>341</v>
      </c>
      <c r="C950" s="565" t="s">
        <v>907</v>
      </c>
      <c r="D950" s="472" t="s">
        <v>1654</v>
      </c>
      <c r="E950" s="542">
        <v>197603</v>
      </c>
      <c r="F950" s="542"/>
      <c r="G950" s="542"/>
      <c r="H950" s="542"/>
      <c r="I950" s="542"/>
      <c r="J950" s="395" t="s">
        <v>798</v>
      </c>
      <c r="K950" s="395" t="s">
        <v>798</v>
      </c>
      <c r="L950" s="395" t="s">
        <v>798</v>
      </c>
      <c r="M950" s="542" t="s">
        <v>795</v>
      </c>
      <c r="N950" s="542">
        <v>20.55364037</v>
      </c>
      <c r="O950" s="542">
        <v>92.674217220000003</v>
      </c>
      <c r="P950" s="395" t="s">
        <v>799</v>
      </c>
      <c r="Q950" s="542"/>
      <c r="R950" s="548"/>
      <c r="S950" s="549"/>
      <c r="T950" s="568"/>
      <c r="U950" s="550"/>
      <c r="V950" s="542" t="s">
        <v>907</v>
      </c>
      <c r="W950" s="422"/>
      <c r="X950" s="542"/>
      <c r="Y950" s="542"/>
      <c r="Z950" s="542"/>
    </row>
    <row r="951" spans="1:26" ht="14.25" customHeight="1">
      <c r="A951" s="419" t="s">
        <v>2706</v>
      </c>
      <c r="B951" s="566" t="s">
        <v>341</v>
      </c>
      <c r="C951" s="565" t="s">
        <v>374</v>
      </c>
      <c r="D951" s="472" t="s">
        <v>1654</v>
      </c>
      <c r="E951" s="395">
        <v>220977</v>
      </c>
      <c r="F951" s="395" t="s">
        <v>2758</v>
      </c>
      <c r="G951" s="395"/>
      <c r="H951" s="395"/>
      <c r="I951" s="395"/>
      <c r="J951" s="395" t="s">
        <v>798</v>
      </c>
      <c r="K951" s="395" t="s">
        <v>798</v>
      </c>
      <c r="L951" s="395" t="s">
        <v>798</v>
      </c>
      <c r="M951" s="395" t="s">
        <v>298</v>
      </c>
      <c r="N951" s="395"/>
      <c r="O951" s="542"/>
      <c r="P951" s="395" t="s">
        <v>799</v>
      </c>
      <c r="Q951" s="395" t="s">
        <v>802</v>
      </c>
      <c r="R951" s="548"/>
      <c r="S951" s="423"/>
      <c r="T951" s="398">
        <v>42926</v>
      </c>
      <c r="U951" s="397" t="s">
        <v>803</v>
      </c>
      <c r="V951" s="395"/>
      <c r="W951" s="422"/>
      <c r="X951" s="542"/>
      <c r="Y951" s="542"/>
      <c r="Z951" s="542"/>
    </row>
    <row r="952" spans="1:26" ht="14.25" customHeight="1">
      <c r="A952" s="552" t="s">
        <v>2706</v>
      </c>
      <c r="B952" s="446" t="s">
        <v>341</v>
      </c>
      <c r="C952" s="447" t="s">
        <v>2879</v>
      </c>
      <c r="D952" s="421"/>
      <c r="E952" s="395">
        <v>220693</v>
      </c>
      <c r="F952" s="395"/>
      <c r="G952" s="395"/>
      <c r="H952" s="419"/>
      <c r="I952" s="419"/>
      <c r="J952" s="395" t="s">
        <v>2715</v>
      </c>
      <c r="K952" s="395" t="s">
        <v>2677</v>
      </c>
      <c r="L952" s="395" t="s">
        <v>2677</v>
      </c>
      <c r="M952" s="395"/>
      <c r="N952" s="419">
        <v>20.586620330810501</v>
      </c>
      <c r="O952" s="419">
        <v>92.689620971679702</v>
      </c>
      <c r="P952" s="395"/>
      <c r="Q952" s="395"/>
      <c r="R952" s="430"/>
      <c r="S952" s="423"/>
      <c r="T952" s="398">
        <v>43591</v>
      </c>
      <c r="U952" s="556"/>
      <c r="V952" s="395" t="s">
        <v>2844</v>
      </c>
      <c r="W952" s="422"/>
      <c r="X952" s="542"/>
      <c r="Y952" s="542"/>
      <c r="Z952" s="542"/>
    </row>
    <row r="953" spans="1:26" ht="14.25" customHeight="1">
      <c r="A953" s="419" t="s">
        <v>2706</v>
      </c>
      <c r="B953" s="441" t="s">
        <v>341</v>
      </c>
      <c r="C953" s="440" t="s">
        <v>482</v>
      </c>
      <c r="D953" s="472" t="s">
        <v>1654</v>
      </c>
      <c r="E953" s="395">
        <v>197631</v>
      </c>
      <c r="F953" s="395" t="s">
        <v>477</v>
      </c>
      <c r="G953" s="395"/>
      <c r="H953" s="419"/>
      <c r="I953" s="419"/>
      <c r="J953" s="395" t="s">
        <v>798</v>
      </c>
      <c r="K953" s="395" t="s">
        <v>798</v>
      </c>
      <c r="L953" s="395" t="s">
        <v>798</v>
      </c>
      <c r="M953" s="395" t="s">
        <v>298</v>
      </c>
      <c r="N953" s="419">
        <v>20.473930360000001</v>
      </c>
      <c r="O953" s="419">
        <v>92.668853760000005</v>
      </c>
      <c r="P953" s="395" t="s">
        <v>799</v>
      </c>
      <c r="Q953" s="395" t="s">
        <v>802</v>
      </c>
      <c r="R953" s="548"/>
      <c r="S953" s="549"/>
      <c r="T953" s="398">
        <v>42926</v>
      </c>
      <c r="U953" s="397" t="s">
        <v>803</v>
      </c>
      <c r="V953" s="395"/>
      <c r="W953" s="422"/>
      <c r="X953" s="542"/>
      <c r="Y953" s="542"/>
      <c r="Z953" s="542"/>
    </row>
    <row r="954" spans="1:26" ht="14.25" customHeight="1">
      <c r="A954" s="419" t="s">
        <v>2706</v>
      </c>
      <c r="B954" s="441" t="s">
        <v>341</v>
      </c>
      <c r="C954" s="440" t="s">
        <v>498</v>
      </c>
      <c r="D954" s="472" t="s">
        <v>1654</v>
      </c>
      <c r="E954" s="419">
        <v>197601</v>
      </c>
      <c r="F954" s="542"/>
      <c r="G954" s="395"/>
      <c r="H954" s="419"/>
      <c r="I954" s="395"/>
      <c r="J954" s="395" t="s">
        <v>798</v>
      </c>
      <c r="K954" s="395" t="s">
        <v>798</v>
      </c>
      <c r="L954" s="395" t="s">
        <v>798</v>
      </c>
      <c r="M954" s="395" t="s">
        <v>795</v>
      </c>
      <c r="N954" s="419">
        <v>20.54644012</v>
      </c>
      <c r="O954" s="419">
        <v>92.648399350000005</v>
      </c>
      <c r="P954" s="395" t="s">
        <v>799</v>
      </c>
      <c r="Q954" s="395" t="s">
        <v>780</v>
      </c>
      <c r="R954" s="548"/>
      <c r="S954" s="549"/>
      <c r="T954" s="398"/>
      <c r="U954" s="397"/>
      <c r="V954" s="395" t="s">
        <v>498</v>
      </c>
      <c r="W954" s="422"/>
      <c r="X954" s="542"/>
      <c r="Y954" s="542"/>
      <c r="Z954" s="542"/>
    </row>
    <row r="955" spans="1:26" ht="14.25" customHeight="1">
      <c r="A955" s="419" t="s">
        <v>2706</v>
      </c>
      <c r="B955" s="441" t="s">
        <v>341</v>
      </c>
      <c r="C955" s="440" t="s">
        <v>471</v>
      </c>
      <c r="D955" s="472" t="s">
        <v>1654</v>
      </c>
      <c r="E955" s="395" t="s">
        <v>1375</v>
      </c>
      <c r="F955" s="395"/>
      <c r="G955" s="395"/>
      <c r="H955" s="395" t="s">
        <v>42</v>
      </c>
      <c r="I955" s="395"/>
      <c r="J955" s="395" t="s">
        <v>798</v>
      </c>
      <c r="K955" s="395" t="s">
        <v>798</v>
      </c>
      <c r="L955" s="395" t="s">
        <v>1654</v>
      </c>
      <c r="M955" s="395" t="s">
        <v>795</v>
      </c>
      <c r="N955" s="395">
        <v>20.408453000000002</v>
      </c>
      <c r="O955" s="395">
        <v>92.660360999999995</v>
      </c>
      <c r="P955" s="395" t="s">
        <v>761</v>
      </c>
      <c r="Q955" s="395" t="s">
        <v>780</v>
      </c>
      <c r="R955" s="422"/>
      <c r="S955" s="549"/>
      <c r="T955" s="398"/>
      <c r="U955" s="397" t="s">
        <v>1901</v>
      </c>
      <c r="V955" s="395" t="s">
        <v>471</v>
      </c>
      <c r="W955" s="422"/>
      <c r="X955" s="542"/>
      <c r="Y955" s="542"/>
      <c r="Z955" s="542"/>
    </row>
    <row r="956" spans="1:26" ht="14.25" customHeight="1">
      <c r="A956" s="419" t="s">
        <v>2706</v>
      </c>
      <c r="B956" s="441" t="s">
        <v>341</v>
      </c>
      <c r="C956" s="440" t="s">
        <v>892</v>
      </c>
      <c r="D956" s="472" t="s">
        <v>1654</v>
      </c>
      <c r="E956" s="395">
        <v>197650</v>
      </c>
      <c r="F956" s="395"/>
      <c r="G956" s="395"/>
      <c r="H956" s="419"/>
      <c r="I956" s="419"/>
      <c r="J956" s="395" t="s">
        <v>879</v>
      </c>
      <c r="K956" s="395" t="s">
        <v>798</v>
      </c>
      <c r="L956" s="395" t="s">
        <v>798</v>
      </c>
      <c r="M956" s="395" t="s">
        <v>298</v>
      </c>
      <c r="N956" s="419">
        <v>20.397039410000001</v>
      </c>
      <c r="O956" s="419">
        <v>92.664451600000007</v>
      </c>
      <c r="P956" s="395" t="s">
        <v>799</v>
      </c>
      <c r="Q956" s="395"/>
      <c r="R956" s="548"/>
      <c r="S956" s="549"/>
      <c r="T956" s="398">
        <v>42849</v>
      </c>
      <c r="U956" s="397" t="s">
        <v>893</v>
      </c>
      <c r="V956" s="419"/>
      <c r="W956" s="422"/>
      <c r="X956" s="542"/>
      <c r="Y956" s="542"/>
      <c r="Z956" s="542"/>
    </row>
    <row r="957" spans="1:26" ht="14.25" customHeight="1">
      <c r="A957" s="419" t="s">
        <v>2706</v>
      </c>
      <c r="B957" s="441" t="s">
        <v>341</v>
      </c>
      <c r="C957" s="440" t="s">
        <v>507</v>
      </c>
      <c r="D957" s="472" t="s">
        <v>1654</v>
      </c>
      <c r="E957" s="395">
        <v>197591</v>
      </c>
      <c r="F957" s="395"/>
      <c r="G957" s="395"/>
      <c r="H957" s="395"/>
      <c r="I957" s="419"/>
      <c r="J957" s="395" t="s">
        <v>798</v>
      </c>
      <c r="K957" s="395" t="s">
        <v>798</v>
      </c>
      <c r="L957" s="395" t="s">
        <v>798</v>
      </c>
      <c r="M957" s="395" t="s">
        <v>795</v>
      </c>
      <c r="N957" s="419">
        <v>20.581470490000001</v>
      </c>
      <c r="O957" s="419">
        <v>92.643272400000001</v>
      </c>
      <c r="P957" s="395" t="s">
        <v>799</v>
      </c>
      <c r="Q957" s="395" t="s">
        <v>780</v>
      </c>
      <c r="R957" s="548"/>
      <c r="S957" s="549"/>
      <c r="T957" s="398"/>
      <c r="U957" s="397" t="s">
        <v>803</v>
      </c>
      <c r="V957" s="395" t="s">
        <v>507</v>
      </c>
      <c r="W957" s="422"/>
      <c r="X957" s="542"/>
      <c r="Y957" s="542"/>
      <c r="Z957" s="542"/>
    </row>
    <row r="958" spans="1:26" ht="14.25" customHeight="1">
      <c r="A958" s="419" t="s">
        <v>2706</v>
      </c>
      <c r="B958" s="188" t="s">
        <v>341</v>
      </c>
      <c r="C958" s="189" t="s">
        <v>1097</v>
      </c>
      <c r="D958" s="547" t="s">
        <v>1654</v>
      </c>
      <c r="E958" s="183"/>
      <c r="F958" s="183"/>
      <c r="G958" s="183"/>
      <c r="H958" s="183"/>
      <c r="I958" s="183"/>
      <c r="J958" s="395" t="s">
        <v>798</v>
      </c>
      <c r="K958" s="395" t="s">
        <v>798</v>
      </c>
      <c r="L958" s="395" t="s">
        <v>798</v>
      </c>
      <c r="M958" s="183" t="s">
        <v>811</v>
      </c>
      <c r="N958" s="183"/>
      <c r="O958" s="183"/>
      <c r="P958" s="395" t="s">
        <v>799</v>
      </c>
      <c r="Q958" s="183" t="s">
        <v>802</v>
      </c>
      <c r="R958" s="184"/>
      <c r="S958" s="182"/>
      <c r="T958" s="185">
        <v>42926</v>
      </c>
      <c r="U958" s="186" t="s">
        <v>803</v>
      </c>
      <c r="V958" s="183"/>
      <c r="W958" s="422"/>
      <c r="X958" s="542"/>
      <c r="Y958" s="542"/>
      <c r="Z958" s="542"/>
    </row>
    <row r="959" spans="1:26" ht="14.25" customHeight="1">
      <c r="A959" s="419" t="s">
        <v>2706</v>
      </c>
      <c r="B959" s="577" t="s">
        <v>341</v>
      </c>
      <c r="C959" s="578" t="s">
        <v>506</v>
      </c>
      <c r="D959" s="547" t="s">
        <v>1654</v>
      </c>
      <c r="E959" s="395">
        <v>197590</v>
      </c>
      <c r="F959" s="395"/>
      <c r="G959" s="395"/>
      <c r="H959" s="395"/>
      <c r="I959" s="542"/>
      <c r="J959" s="395" t="s">
        <v>798</v>
      </c>
      <c r="K959" s="395" t="s">
        <v>798</v>
      </c>
      <c r="L959" s="542" t="s">
        <v>798</v>
      </c>
      <c r="M959" s="395" t="s">
        <v>298</v>
      </c>
      <c r="N959" s="419">
        <v>20.56975937</v>
      </c>
      <c r="O959" s="575">
        <v>92.641799930000005</v>
      </c>
      <c r="P959" s="395" t="s">
        <v>799</v>
      </c>
      <c r="Q959" s="395" t="s">
        <v>780</v>
      </c>
      <c r="R959" s="556"/>
      <c r="S959" s="549"/>
      <c r="T959" s="398"/>
      <c r="U959" s="397" t="s">
        <v>803</v>
      </c>
      <c r="V959" s="395" t="s">
        <v>506</v>
      </c>
      <c r="W959" s="548"/>
      <c r="X959" s="542"/>
      <c r="Y959" s="542"/>
      <c r="Z959" s="542"/>
    </row>
    <row r="960" spans="1:26" ht="14.25" customHeight="1">
      <c r="A960" s="419" t="s">
        <v>2706</v>
      </c>
      <c r="B960" s="577" t="s">
        <v>341</v>
      </c>
      <c r="C960" s="578" t="s">
        <v>913</v>
      </c>
      <c r="D960" s="547" t="s">
        <v>1654</v>
      </c>
      <c r="E960" s="542">
        <v>197585</v>
      </c>
      <c r="F960" s="542"/>
      <c r="G960" s="542"/>
      <c r="H960" s="542"/>
      <c r="I960" s="542"/>
      <c r="J960" s="542" t="s">
        <v>798</v>
      </c>
      <c r="K960" s="542" t="s">
        <v>798</v>
      </c>
      <c r="L960" s="542" t="s">
        <v>798</v>
      </c>
      <c r="M960" s="542" t="s">
        <v>298</v>
      </c>
      <c r="N960" s="542">
        <v>20.585840229999999</v>
      </c>
      <c r="O960" s="542">
        <v>92.670722960000006</v>
      </c>
      <c r="P960" s="542" t="s">
        <v>799</v>
      </c>
      <c r="Q960" s="542"/>
      <c r="R960" s="556"/>
      <c r="S960" s="549"/>
      <c r="T960" s="568"/>
      <c r="U960" s="550"/>
      <c r="V960" s="542" t="s">
        <v>913</v>
      </c>
      <c r="W960" s="548"/>
      <c r="X960" s="542"/>
      <c r="Y960" s="542"/>
      <c r="Z960" s="542"/>
    </row>
    <row r="961" spans="1:26" ht="14.25" customHeight="1">
      <c r="A961" s="552" t="s">
        <v>2706</v>
      </c>
      <c r="B961" s="577" t="s">
        <v>341</v>
      </c>
      <c r="C961" s="578" t="s">
        <v>2878</v>
      </c>
      <c r="D961" s="547"/>
      <c r="E961" s="395">
        <v>197581</v>
      </c>
      <c r="F961" s="395"/>
      <c r="G961" s="395"/>
      <c r="H961" s="419"/>
      <c r="I961" s="419"/>
      <c r="J961" s="395" t="s">
        <v>2715</v>
      </c>
      <c r="K961" s="395" t="s">
        <v>2677</v>
      </c>
      <c r="L961" s="395" t="s">
        <v>2677</v>
      </c>
      <c r="M961" s="395"/>
      <c r="N961" s="419">
        <v>20.631229400634801</v>
      </c>
      <c r="O961" s="419">
        <v>92.641532897949205</v>
      </c>
      <c r="P961" s="395"/>
      <c r="Q961" s="395"/>
      <c r="R961" s="556"/>
      <c r="S961" s="549"/>
      <c r="T961" s="398">
        <v>43591</v>
      </c>
      <c r="U961" s="556"/>
      <c r="V961" s="395" t="s">
        <v>2843</v>
      </c>
      <c r="W961" s="422"/>
      <c r="X961" s="542"/>
      <c r="Y961" s="542"/>
      <c r="Z961" s="542"/>
    </row>
    <row r="962" spans="1:26" ht="14.25" customHeight="1">
      <c r="A962" s="419" t="s">
        <v>2706</v>
      </c>
      <c r="B962" s="441" t="s">
        <v>341</v>
      </c>
      <c r="C962" s="440" t="s">
        <v>582</v>
      </c>
      <c r="D962" s="547" t="s">
        <v>1654</v>
      </c>
      <c r="E962" s="395">
        <v>197616</v>
      </c>
      <c r="F962" s="395" t="s">
        <v>486</v>
      </c>
      <c r="G962" s="395"/>
      <c r="H962" s="419"/>
      <c r="I962" s="419"/>
      <c r="J962" s="395" t="s">
        <v>798</v>
      </c>
      <c r="K962" s="395" t="s">
        <v>798</v>
      </c>
      <c r="L962" s="395" t="s">
        <v>798</v>
      </c>
      <c r="M962" s="395" t="s">
        <v>298</v>
      </c>
      <c r="N962" s="419">
        <v>20.495670319999999</v>
      </c>
      <c r="O962" s="419">
        <v>92.651496890000004</v>
      </c>
      <c r="P962" s="395" t="s">
        <v>799</v>
      </c>
      <c r="Q962" s="395" t="s">
        <v>802</v>
      </c>
      <c r="R962" s="546"/>
      <c r="S962" s="546"/>
      <c r="T962" s="398">
        <v>42926</v>
      </c>
      <c r="U962" s="397" t="s">
        <v>803</v>
      </c>
      <c r="V962" s="395"/>
      <c r="W962" s="422"/>
      <c r="X962" s="542"/>
      <c r="Y962" s="542"/>
      <c r="Z962" s="542"/>
    </row>
    <row r="963" spans="1:26" ht="14.25" customHeight="1">
      <c r="A963" s="419" t="s">
        <v>2706</v>
      </c>
      <c r="B963" s="441" t="s">
        <v>341</v>
      </c>
      <c r="C963" s="440" t="s">
        <v>541</v>
      </c>
      <c r="D963" s="472" t="s">
        <v>1654</v>
      </c>
      <c r="E963" s="395">
        <v>197670</v>
      </c>
      <c r="F963" s="420"/>
      <c r="G963" s="395"/>
      <c r="H963" s="395"/>
      <c r="I963" s="419"/>
      <c r="J963" s="395" t="s">
        <v>798</v>
      </c>
      <c r="K963" s="395" t="s">
        <v>798</v>
      </c>
      <c r="L963" s="395" t="s">
        <v>798</v>
      </c>
      <c r="M963" s="395" t="s">
        <v>795</v>
      </c>
      <c r="N963" s="419">
        <v>20.6833992</v>
      </c>
      <c r="O963" s="419">
        <v>92.656608579999997</v>
      </c>
      <c r="P963" s="395" t="s">
        <v>799</v>
      </c>
      <c r="Q963" s="395" t="s">
        <v>780</v>
      </c>
      <c r="R963" s="552"/>
      <c r="S963" s="553"/>
      <c r="T963" s="398" t="s">
        <v>805</v>
      </c>
      <c r="U963" s="397"/>
      <c r="V963" s="395"/>
      <c r="W963" s="422"/>
      <c r="X963" s="542"/>
      <c r="Y963" s="542"/>
      <c r="Z963" s="542"/>
    </row>
    <row r="964" spans="1:26" ht="14.25" customHeight="1">
      <c r="A964" s="419" t="s">
        <v>2706</v>
      </c>
      <c r="B964" s="441" t="s">
        <v>341</v>
      </c>
      <c r="C964" s="440" t="s">
        <v>473</v>
      </c>
      <c r="D964" s="472" t="s">
        <v>1654</v>
      </c>
      <c r="E964" s="395" t="s">
        <v>1377</v>
      </c>
      <c r="F964" s="395"/>
      <c r="G964" s="395"/>
      <c r="H964" s="419" t="s">
        <v>42</v>
      </c>
      <c r="I964" s="419"/>
      <c r="J964" s="395" t="s">
        <v>798</v>
      </c>
      <c r="K964" s="395" t="s">
        <v>798</v>
      </c>
      <c r="L964" s="395" t="s">
        <v>1654</v>
      </c>
      <c r="M964" s="395" t="s">
        <v>795</v>
      </c>
      <c r="N964" s="419">
        <v>20.447261000000001</v>
      </c>
      <c r="O964" s="419">
        <v>92.639589000000001</v>
      </c>
      <c r="P964" s="395" t="s">
        <v>761</v>
      </c>
      <c r="Q964" s="395" t="s">
        <v>780</v>
      </c>
      <c r="R964" s="422"/>
      <c r="S964" s="422"/>
      <c r="T964" s="398"/>
      <c r="U964" s="397" t="s">
        <v>1901</v>
      </c>
      <c r="V964" s="395" t="s">
        <v>473</v>
      </c>
      <c r="W964" s="422"/>
      <c r="X964" s="542"/>
      <c r="Y964" s="542"/>
      <c r="Z964" s="542"/>
    </row>
    <row r="965" spans="1:26" ht="14.25" customHeight="1">
      <c r="A965" s="419" t="s">
        <v>2706</v>
      </c>
      <c r="B965" s="441" t="s">
        <v>341</v>
      </c>
      <c r="C965" s="440" t="s">
        <v>897</v>
      </c>
      <c r="D965" s="472" t="s">
        <v>1654</v>
      </c>
      <c r="E965" s="395">
        <v>197654</v>
      </c>
      <c r="F965" s="395"/>
      <c r="G965" s="395"/>
      <c r="H965" s="419"/>
      <c r="I965" s="419"/>
      <c r="J965" s="395" t="s">
        <v>879</v>
      </c>
      <c r="K965" s="395" t="s">
        <v>798</v>
      </c>
      <c r="L965" s="395" t="s">
        <v>798</v>
      </c>
      <c r="M965" s="395" t="s">
        <v>298</v>
      </c>
      <c r="N965" s="419">
        <v>20.447399140000002</v>
      </c>
      <c r="O965" s="419">
        <v>92.630462649999998</v>
      </c>
      <c r="P965" s="395" t="s">
        <v>799</v>
      </c>
      <c r="Q965" s="395"/>
      <c r="R965" s="552"/>
      <c r="S965" s="553"/>
      <c r="T965" s="398">
        <v>42849</v>
      </c>
      <c r="U965" s="397" t="s">
        <v>893</v>
      </c>
      <c r="V965" s="395" t="s">
        <v>473</v>
      </c>
      <c r="W965" s="422"/>
      <c r="X965" s="542"/>
      <c r="Y965" s="542"/>
      <c r="Z965" s="542"/>
    </row>
    <row r="966" spans="1:26" ht="14.25" customHeight="1">
      <c r="A966" s="419" t="s">
        <v>2706</v>
      </c>
      <c r="B966" s="441" t="s">
        <v>341</v>
      </c>
      <c r="C966" s="440" t="s">
        <v>522</v>
      </c>
      <c r="D966" s="472" t="s">
        <v>1654</v>
      </c>
      <c r="E966" s="395">
        <v>197695</v>
      </c>
      <c r="F966" s="395" t="s">
        <v>2759</v>
      </c>
      <c r="G966" s="395"/>
      <c r="H966" s="419"/>
      <c r="I966" s="419"/>
      <c r="J966" s="395" t="s">
        <v>798</v>
      </c>
      <c r="K966" s="395" t="s">
        <v>798</v>
      </c>
      <c r="L966" s="419" t="s">
        <v>798</v>
      </c>
      <c r="M966" s="395" t="s">
        <v>298</v>
      </c>
      <c r="N966" s="419">
        <v>20.651939389999999</v>
      </c>
      <c r="O966" s="419">
        <v>92.684577939999997</v>
      </c>
      <c r="P966" s="395" t="s">
        <v>799</v>
      </c>
      <c r="Q966" s="395" t="s">
        <v>802</v>
      </c>
      <c r="R966" s="426"/>
      <c r="S966" s="427"/>
      <c r="T966" s="398">
        <v>42926</v>
      </c>
      <c r="U966" s="397" t="s">
        <v>803</v>
      </c>
      <c r="V966" s="395"/>
      <c r="W966" s="422"/>
      <c r="X966" s="542"/>
      <c r="Y966" s="542"/>
      <c r="Z966" s="542"/>
    </row>
    <row r="967" spans="1:26" ht="14.25" customHeight="1">
      <c r="A967" s="419" t="s">
        <v>2706</v>
      </c>
      <c r="B967" s="441" t="s">
        <v>341</v>
      </c>
      <c r="C967" s="440" t="s">
        <v>477</v>
      </c>
      <c r="D967" s="472" t="s">
        <v>1654</v>
      </c>
      <c r="E967" s="395">
        <v>197629</v>
      </c>
      <c r="F967" s="546" t="s">
        <v>477</v>
      </c>
      <c r="G967" s="395"/>
      <c r="H967" s="419"/>
      <c r="I967" s="419"/>
      <c r="J967" s="395" t="s">
        <v>798</v>
      </c>
      <c r="K967" s="395" t="s">
        <v>798</v>
      </c>
      <c r="L967" s="419" t="s">
        <v>798</v>
      </c>
      <c r="M967" s="395" t="s">
        <v>298</v>
      </c>
      <c r="N967" s="419">
        <v>20.463909149999999</v>
      </c>
      <c r="O967" s="419">
        <v>92.675468440000003</v>
      </c>
      <c r="P967" s="419" t="s">
        <v>799</v>
      </c>
      <c r="Q967" s="395" t="s">
        <v>802</v>
      </c>
      <c r="R967" s="422"/>
      <c r="S967" s="422"/>
      <c r="T967" s="398">
        <v>42926</v>
      </c>
      <c r="U967" s="397" t="s">
        <v>803</v>
      </c>
      <c r="V967" s="395"/>
      <c r="W967" s="422"/>
      <c r="X967" s="542"/>
      <c r="Y967" s="542"/>
      <c r="Z967" s="542"/>
    </row>
    <row r="968" spans="1:26" ht="14.25" customHeight="1">
      <c r="A968" s="419" t="s">
        <v>2706</v>
      </c>
      <c r="B968" s="441" t="s">
        <v>341</v>
      </c>
      <c r="C968" s="587" t="s">
        <v>517</v>
      </c>
      <c r="D968" s="472" t="s">
        <v>1654</v>
      </c>
      <c r="E968" s="395">
        <v>197706</v>
      </c>
      <c r="F968" s="542" t="s">
        <v>517</v>
      </c>
      <c r="G968" s="395"/>
      <c r="H968" s="419"/>
      <c r="I968" s="558"/>
      <c r="J968" s="395" t="s">
        <v>798</v>
      </c>
      <c r="K968" s="395" t="s">
        <v>798</v>
      </c>
      <c r="L968" s="558" t="s">
        <v>798</v>
      </c>
      <c r="M968" s="395" t="s">
        <v>298</v>
      </c>
      <c r="N968" s="419">
        <v>20.643590929999998</v>
      </c>
      <c r="O968" s="419">
        <v>92.722618100000005</v>
      </c>
      <c r="P968" s="395" t="s">
        <v>799</v>
      </c>
      <c r="Q968" s="395" t="s">
        <v>780</v>
      </c>
      <c r="R968" s="422"/>
      <c r="S968" s="422"/>
      <c r="T968" s="398" t="s">
        <v>805</v>
      </c>
      <c r="U968" s="397"/>
      <c r="V968" s="395"/>
      <c r="W968" s="580"/>
      <c r="X968" s="542"/>
      <c r="Y968" s="542"/>
      <c r="Z968" s="542"/>
    </row>
    <row r="969" spans="1:26" ht="14.25" customHeight="1">
      <c r="A969" s="419" t="s">
        <v>2706</v>
      </c>
      <c r="B969" s="583" t="s">
        <v>341</v>
      </c>
      <c r="C969" s="588" t="s">
        <v>915</v>
      </c>
      <c r="D969" s="472" t="s">
        <v>1654</v>
      </c>
      <c r="E969" s="581">
        <v>197583</v>
      </c>
      <c r="F969" s="584"/>
      <c r="G969" s="584"/>
      <c r="H969" s="584"/>
      <c r="I969" s="558"/>
      <c r="J969" s="584" t="s">
        <v>798</v>
      </c>
      <c r="K969" s="584" t="s">
        <v>798</v>
      </c>
      <c r="L969" s="558" t="s">
        <v>798</v>
      </c>
      <c r="M969" s="584"/>
      <c r="N969" s="584">
        <v>20.598709110000001</v>
      </c>
      <c r="O969" s="584">
        <v>92.664337160000002</v>
      </c>
      <c r="P969" s="584" t="s">
        <v>799</v>
      </c>
      <c r="Q969" s="584"/>
      <c r="R969" s="422"/>
      <c r="S969" s="422"/>
      <c r="T969" s="585"/>
      <c r="U969" s="586"/>
      <c r="V969" s="584" t="s">
        <v>915</v>
      </c>
      <c r="W969" s="580"/>
      <c r="X969" s="542"/>
      <c r="Y969" s="542"/>
      <c r="Z969" s="542"/>
    </row>
    <row r="970" spans="1:26" ht="14.25" customHeight="1">
      <c r="A970" s="419" t="s">
        <v>2706</v>
      </c>
      <c r="B970" s="441" t="s">
        <v>341</v>
      </c>
      <c r="C970" s="440" t="s">
        <v>489</v>
      </c>
      <c r="D970" s="472" t="s">
        <v>1654</v>
      </c>
      <c r="E970" s="395">
        <v>197615</v>
      </c>
      <c r="F970" s="395"/>
      <c r="G970" s="395"/>
      <c r="H970" s="395"/>
      <c r="I970" s="395"/>
      <c r="J970" s="419" t="s">
        <v>798</v>
      </c>
      <c r="K970" s="419" t="s">
        <v>798</v>
      </c>
      <c r="L970" s="419" t="s">
        <v>798</v>
      </c>
      <c r="M970" s="395" t="s">
        <v>298</v>
      </c>
      <c r="N970" s="419">
        <v>20.502599719999999</v>
      </c>
      <c r="O970" s="419">
        <v>92.6474762</v>
      </c>
      <c r="P970" s="395" t="s">
        <v>799</v>
      </c>
      <c r="Q970" s="395" t="s">
        <v>802</v>
      </c>
      <c r="R970" s="426"/>
      <c r="S970" s="427"/>
      <c r="T970" s="398">
        <v>42926</v>
      </c>
      <c r="U970" s="397" t="s">
        <v>803</v>
      </c>
      <c r="V970" s="395"/>
      <c r="W970" s="422"/>
      <c r="X970" s="542"/>
      <c r="Y970" s="542"/>
      <c r="Z970" s="542"/>
    </row>
    <row r="971" spans="1:26" ht="14.25" customHeight="1">
      <c r="A971" s="419" t="s">
        <v>2706</v>
      </c>
      <c r="B971" s="441" t="s">
        <v>341</v>
      </c>
      <c r="C971" s="440" t="s">
        <v>906</v>
      </c>
      <c r="D971" s="472" t="s">
        <v>1654</v>
      </c>
      <c r="E971" s="395">
        <v>197608</v>
      </c>
      <c r="F971" s="419"/>
      <c r="G971" s="395"/>
      <c r="H971" s="395"/>
      <c r="I971" s="395"/>
      <c r="J971" s="395" t="s">
        <v>798</v>
      </c>
      <c r="K971" s="395" t="s">
        <v>798</v>
      </c>
      <c r="L971" s="395" t="s">
        <v>798</v>
      </c>
      <c r="M971" s="395" t="s">
        <v>298</v>
      </c>
      <c r="N971" s="419">
        <v>20.521270749999999</v>
      </c>
      <c r="O971" s="419">
        <v>92.686096190000001</v>
      </c>
      <c r="P971" s="395" t="s">
        <v>799</v>
      </c>
      <c r="Q971" s="395"/>
      <c r="R971" s="552"/>
      <c r="S971" s="553"/>
      <c r="T971" s="398"/>
      <c r="U971" s="397"/>
      <c r="V971" s="395" t="s">
        <v>906</v>
      </c>
      <c r="W971" s="422"/>
      <c r="X971" s="542"/>
      <c r="Y971" s="542"/>
      <c r="Z971" s="542"/>
    </row>
    <row r="972" spans="1:26" ht="14.25" customHeight="1">
      <c r="A972" s="419" t="s">
        <v>2706</v>
      </c>
      <c r="B972" s="441" t="s">
        <v>341</v>
      </c>
      <c r="C972" s="440" t="s">
        <v>484</v>
      </c>
      <c r="D972" s="472" t="s">
        <v>1654</v>
      </c>
      <c r="E972" s="395">
        <v>197618</v>
      </c>
      <c r="F972" s="420"/>
      <c r="G972" s="395"/>
      <c r="H972" s="395"/>
      <c r="I972" s="395"/>
      <c r="J972" s="395" t="s">
        <v>798</v>
      </c>
      <c r="K972" s="395" t="s">
        <v>798</v>
      </c>
      <c r="L972" s="395" t="s">
        <v>798</v>
      </c>
      <c r="M972" s="395" t="s">
        <v>298</v>
      </c>
      <c r="N972" s="419">
        <v>20.480100629999999</v>
      </c>
      <c r="O972" s="419">
        <v>92.70481873</v>
      </c>
      <c r="P972" s="395" t="s">
        <v>799</v>
      </c>
      <c r="Q972" s="395" t="s">
        <v>802</v>
      </c>
      <c r="R972" s="422"/>
      <c r="S972" s="422"/>
      <c r="T972" s="398">
        <v>42926</v>
      </c>
      <c r="U972" s="397" t="s">
        <v>803</v>
      </c>
      <c r="V972" s="395"/>
      <c r="W972" s="422"/>
      <c r="X972" s="542"/>
      <c r="Y972" s="542"/>
      <c r="Z972" s="542"/>
    </row>
    <row r="973" spans="1:26" ht="14.25" customHeight="1">
      <c r="A973" s="419" t="s">
        <v>2706</v>
      </c>
      <c r="B973" s="441" t="s">
        <v>341</v>
      </c>
      <c r="C973" s="440" t="s">
        <v>516</v>
      </c>
      <c r="D973" s="472" t="s">
        <v>1654</v>
      </c>
      <c r="E973" s="395">
        <v>197707</v>
      </c>
      <c r="F973" s="395"/>
      <c r="G973" s="395"/>
      <c r="H973" s="419"/>
      <c r="I973" s="419"/>
      <c r="J973" s="395" t="s">
        <v>798</v>
      </c>
      <c r="K973" s="395" t="s">
        <v>798</v>
      </c>
      <c r="L973" s="395" t="s">
        <v>798</v>
      </c>
      <c r="M973" s="395" t="s">
        <v>298</v>
      </c>
      <c r="N973" s="419">
        <v>20.639530180000001</v>
      </c>
      <c r="O973" s="419">
        <v>92.721908569999997</v>
      </c>
      <c r="P973" s="395" t="s">
        <v>799</v>
      </c>
      <c r="Q973" s="395" t="s">
        <v>780</v>
      </c>
      <c r="R973" s="422"/>
      <c r="S973" s="548"/>
      <c r="T973" s="398" t="s">
        <v>805</v>
      </c>
      <c r="U973" s="397"/>
      <c r="V973" s="395"/>
      <c r="W973" s="422"/>
      <c r="X973" s="542"/>
      <c r="Y973" s="542"/>
      <c r="Z973" s="542"/>
    </row>
    <row r="974" spans="1:26" ht="14.25" customHeight="1">
      <c r="A974" s="419" t="s">
        <v>2706</v>
      </c>
      <c r="B974" s="441" t="s">
        <v>341</v>
      </c>
      <c r="C974" s="440" t="s">
        <v>508</v>
      </c>
      <c r="D974" s="472" t="s">
        <v>1654</v>
      </c>
      <c r="E974" s="419">
        <v>197580</v>
      </c>
      <c r="F974" s="419"/>
      <c r="G974" s="419"/>
      <c r="H974" s="419"/>
      <c r="I974" s="419"/>
      <c r="J974" s="395" t="s">
        <v>798</v>
      </c>
      <c r="K974" s="395" t="s">
        <v>798</v>
      </c>
      <c r="L974" s="395" t="s">
        <v>798</v>
      </c>
      <c r="M974" s="395" t="s">
        <v>298</v>
      </c>
      <c r="N974" s="419">
        <v>20.582699999999999</v>
      </c>
      <c r="O974" s="419">
        <v>92.664699999999996</v>
      </c>
      <c r="P974" s="395" t="s">
        <v>799</v>
      </c>
      <c r="Q974" s="395" t="s">
        <v>780</v>
      </c>
      <c r="R974" s="548"/>
      <c r="S974" s="548"/>
      <c r="T974" s="398"/>
      <c r="U974" s="397"/>
      <c r="V974" s="395" t="s">
        <v>508</v>
      </c>
      <c r="W974" s="422"/>
      <c r="X974" s="542"/>
      <c r="Y974" s="542"/>
      <c r="Z974" s="542"/>
    </row>
    <row r="975" spans="1:26" ht="14.25" customHeight="1">
      <c r="A975" s="419" t="s">
        <v>2706</v>
      </c>
      <c r="B975" s="441" t="s">
        <v>341</v>
      </c>
      <c r="C975" s="440" t="s">
        <v>481</v>
      </c>
      <c r="D975" s="472" t="s">
        <v>1654</v>
      </c>
      <c r="E975" s="395">
        <v>197630</v>
      </c>
      <c r="F975" s="395"/>
      <c r="G975" s="395"/>
      <c r="H975" s="395"/>
      <c r="I975" s="395"/>
      <c r="J975" s="395" t="s">
        <v>798</v>
      </c>
      <c r="K975" s="395" t="s">
        <v>798</v>
      </c>
      <c r="L975" s="395" t="s">
        <v>798</v>
      </c>
      <c r="M975" s="395" t="s">
        <v>298</v>
      </c>
      <c r="N975" s="419">
        <v>20.470119480000001</v>
      </c>
      <c r="O975" s="419">
        <v>92.672653199999999</v>
      </c>
      <c r="P975" s="395" t="s">
        <v>799</v>
      </c>
      <c r="Q975" s="395" t="s">
        <v>802</v>
      </c>
      <c r="R975" s="552"/>
      <c r="S975" s="553"/>
      <c r="T975" s="398">
        <v>42926</v>
      </c>
      <c r="U975" s="397" t="s">
        <v>803</v>
      </c>
      <c r="V975" s="395"/>
      <c r="W975" s="422"/>
      <c r="X975" s="542"/>
      <c r="Y975" s="542"/>
      <c r="Z975" s="542"/>
    </row>
    <row r="976" spans="1:26" ht="14.25" customHeight="1">
      <c r="A976" s="419" t="s">
        <v>2706</v>
      </c>
      <c r="B976" s="441" t="s">
        <v>341</v>
      </c>
      <c r="C976" s="440" t="s">
        <v>1911</v>
      </c>
      <c r="D976" s="472"/>
      <c r="E976" s="395">
        <v>197611</v>
      </c>
      <c r="F976" s="395" t="s">
        <v>1911</v>
      </c>
      <c r="G976" s="395"/>
      <c r="H976" s="395"/>
      <c r="I976" s="395"/>
      <c r="J976" s="395" t="s">
        <v>798</v>
      </c>
      <c r="K976" s="395" t="s">
        <v>798</v>
      </c>
      <c r="L976" s="395" t="s">
        <v>798</v>
      </c>
      <c r="M976" s="395" t="s">
        <v>298</v>
      </c>
      <c r="N976" s="395">
        <v>20.504730219999999</v>
      </c>
      <c r="O976" s="395">
        <v>92.6831131</v>
      </c>
      <c r="P976" s="395" t="s">
        <v>799</v>
      </c>
      <c r="Q976" s="395" t="s">
        <v>1908</v>
      </c>
      <c r="R976" s="422"/>
      <c r="S976" s="422"/>
      <c r="T976" s="398">
        <v>43245</v>
      </c>
      <c r="U976" s="397"/>
      <c r="V976" s="395"/>
      <c r="W976" s="422"/>
      <c r="X976" s="542"/>
      <c r="Y976" s="542"/>
      <c r="Z976" s="542"/>
    </row>
    <row r="977" spans="1:26" ht="14.25" customHeight="1">
      <c r="A977" s="419" t="s">
        <v>2706</v>
      </c>
      <c r="B977" s="441" t="s">
        <v>341</v>
      </c>
      <c r="C977" s="440" t="s">
        <v>1912</v>
      </c>
      <c r="D977" s="472"/>
      <c r="E977" s="395">
        <v>197613</v>
      </c>
      <c r="F977" s="420"/>
      <c r="G977" s="395"/>
      <c r="H977" s="395"/>
      <c r="I977" s="419"/>
      <c r="J977" s="419" t="s">
        <v>798</v>
      </c>
      <c r="K977" s="419" t="s">
        <v>798</v>
      </c>
      <c r="L977" s="419" t="s">
        <v>798</v>
      </c>
      <c r="M977" s="395" t="s">
        <v>298</v>
      </c>
      <c r="N977" s="419">
        <v>20.49729919</v>
      </c>
      <c r="O977" s="419">
        <v>92.683097840000002</v>
      </c>
      <c r="P977" s="395" t="s">
        <v>799</v>
      </c>
      <c r="Q977" s="395" t="s">
        <v>1908</v>
      </c>
      <c r="R977" s="422"/>
      <c r="S977" s="422"/>
      <c r="T977" s="398">
        <v>43245</v>
      </c>
      <c r="U977" s="397"/>
      <c r="V977" s="395"/>
      <c r="W977" s="422"/>
      <c r="X977" s="542"/>
      <c r="Y977" s="542"/>
      <c r="Z977" s="542"/>
    </row>
    <row r="978" spans="1:26" ht="14.25" customHeight="1">
      <c r="A978" s="419" t="s">
        <v>2706</v>
      </c>
      <c r="B978" s="566" t="s">
        <v>341</v>
      </c>
      <c r="C978" s="565" t="s">
        <v>492</v>
      </c>
      <c r="D978" s="472" t="s">
        <v>1654</v>
      </c>
      <c r="E978" s="542">
        <v>197596</v>
      </c>
      <c r="F978" s="395"/>
      <c r="G978" s="395"/>
      <c r="H978" s="542"/>
      <c r="I978" s="542"/>
      <c r="J978" s="542" t="s">
        <v>798</v>
      </c>
      <c r="K978" s="542" t="s">
        <v>798</v>
      </c>
      <c r="L978" s="542" t="s">
        <v>798</v>
      </c>
      <c r="M978" s="542" t="s">
        <v>298</v>
      </c>
      <c r="N978" s="542">
        <v>20.511900000000001</v>
      </c>
      <c r="O978" s="542">
        <v>92.645300000000006</v>
      </c>
      <c r="P978" s="395" t="s">
        <v>799</v>
      </c>
      <c r="Q978" s="542" t="s">
        <v>780</v>
      </c>
      <c r="R978" s="422"/>
      <c r="S978" s="422"/>
      <c r="T978" s="568"/>
      <c r="U978" s="550"/>
      <c r="V978" s="395" t="s">
        <v>492</v>
      </c>
      <c r="W978" s="422"/>
      <c r="X978" s="542"/>
      <c r="Y978" s="542"/>
      <c r="Z978" s="542"/>
    </row>
    <row r="979" spans="1:26" ht="14.25" customHeight="1">
      <c r="A979" s="419" t="s">
        <v>2706</v>
      </c>
      <c r="B979" s="441" t="s">
        <v>341</v>
      </c>
      <c r="C979" s="440" t="s">
        <v>474</v>
      </c>
      <c r="D979" s="472" t="s">
        <v>1654</v>
      </c>
      <c r="E979" s="395">
        <v>197621</v>
      </c>
      <c r="F979" s="395"/>
      <c r="G979" s="395"/>
      <c r="H979" s="395"/>
      <c r="I979" s="395"/>
      <c r="J979" s="395" t="s">
        <v>798</v>
      </c>
      <c r="K979" s="395" t="s">
        <v>798</v>
      </c>
      <c r="L979" s="395" t="s">
        <v>798</v>
      </c>
      <c r="M979" s="395" t="s">
        <v>298</v>
      </c>
      <c r="N979" s="419">
        <v>20.453830719999999</v>
      </c>
      <c r="O979" s="419">
        <v>92.683090210000003</v>
      </c>
      <c r="P979" s="395" t="s">
        <v>799</v>
      </c>
      <c r="Q979" s="395" t="s">
        <v>802</v>
      </c>
      <c r="R979" s="552"/>
      <c r="S979" s="553"/>
      <c r="T979" s="398">
        <v>42926</v>
      </c>
      <c r="U979" s="397" t="s">
        <v>803</v>
      </c>
      <c r="V979" s="395"/>
      <c r="W979" s="422"/>
      <c r="X979" s="542"/>
      <c r="Y979" s="542"/>
      <c r="Z979" s="542"/>
    </row>
    <row r="980" spans="1:26" ht="14.25" customHeight="1">
      <c r="A980" s="419" t="s">
        <v>2706</v>
      </c>
      <c r="B980" s="441" t="s">
        <v>341</v>
      </c>
      <c r="C980" s="440" t="s">
        <v>515</v>
      </c>
      <c r="D980" s="472" t="s">
        <v>1654</v>
      </c>
      <c r="E980" s="395">
        <v>197690</v>
      </c>
      <c r="F980" s="542"/>
      <c r="G980" s="395"/>
      <c r="H980" s="395"/>
      <c r="I980" s="395"/>
      <c r="J980" s="395" t="s">
        <v>798</v>
      </c>
      <c r="K980" s="395" t="s">
        <v>798</v>
      </c>
      <c r="L980" s="395" t="s">
        <v>798</v>
      </c>
      <c r="M980" s="395" t="s">
        <v>298</v>
      </c>
      <c r="N980" s="419">
        <v>20.636510850000001</v>
      </c>
      <c r="O980" s="419">
        <v>92.713378910000003</v>
      </c>
      <c r="P980" s="395" t="s">
        <v>799</v>
      </c>
      <c r="Q980" s="395" t="s">
        <v>780</v>
      </c>
      <c r="R980" s="548"/>
      <c r="S980" s="548"/>
      <c r="T980" s="398" t="s">
        <v>805</v>
      </c>
      <c r="U980" s="397"/>
      <c r="V980" s="395"/>
      <c r="W980" s="422"/>
      <c r="X980" s="542"/>
      <c r="Y980" s="542"/>
      <c r="Z980" s="542"/>
    </row>
    <row r="981" spans="1:26" ht="14.25" customHeight="1">
      <c r="A981" s="542" t="s">
        <v>2706</v>
      </c>
      <c r="B981" s="566" t="s">
        <v>341</v>
      </c>
      <c r="C981" s="565" t="s">
        <v>501</v>
      </c>
      <c r="D981" s="472" t="s">
        <v>1654</v>
      </c>
      <c r="E981" s="395">
        <v>197597</v>
      </c>
      <c r="F981" s="546"/>
      <c r="G981" s="395"/>
      <c r="H981" s="395"/>
      <c r="I981" s="395"/>
      <c r="J981" s="395" t="s">
        <v>798</v>
      </c>
      <c r="K981" s="395" t="s">
        <v>798</v>
      </c>
      <c r="L981" s="395" t="s">
        <v>798</v>
      </c>
      <c r="M981" s="395" t="s">
        <v>795</v>
      </c>
      <c r="N981" s="419">
        <v>20.550769809999998</v>
      </c>
      <c r="O981" s="419">
        <v>92.650512699999993</v>
      </c>
      <c r="P981" s="395" t="s">
        <v>799</v>
      </c>
      <c r="Q981" s="395" t="s">
        <v>780</v>
      </c>
      <c r="R981" s="548"/>
      <c r="S981" s="548"/>
      <c r="T981" s="398"/>
      <c r="U981" s="550"/>
      <c r="V981" s="395" t="s">
        <v>501</v>
      </c>
      <c r="W981" s="422"/>
      <c r="X981" s="542"/>
      <c r="Y981" s="542"/>
      <c r="Z981" s="542"/>
    </row>
    <row r="982" spans="1:26" ht="14.25" customHeight="1">
      <c r="A982" s="419" t="s">
        <v>2706</v>
      </c>
      <c r="B982" s="566" t="s">
        <v>341</v>
      </c>
      <c r="C982" s="565" t="s">
        <v>461</v>
      </c>
      <c r="D982" s="472" t="s">
        <v>2313</v>
      </c>
      <c r="E982" s="395" t="s">
        <v>1369</v>
      </c>
      <c r="F982" s="395"/>
      <c r="G982" s="395"/>
      <c r="H982" s="395"/>
      <c r="I982" s="395"/>
      <c r="J982" s="395" t="s">
        <v>798</v>
      </c>
      <c r="K982" s="395" t="s">
        <v>798</v>
      </c>
      <c r="L982" s="542" t="s">
        <v>883</v>
      </c>
      <c r="M982" s="395" t="s">
        <v>795</v>
      </c>
      <c r="N982" s="419">
        <v>20.335864000000001</v>
      </c>
      <c r="O982" s="419">
        <v>92.785706000000005</v>
      </c>
      <c r="P982" s="395" t="s">
        <v>799</v>
      </c>
      <c r="Q982" s="395" t="s">
        <v>780</v>
      </c>
      <c r="R982" s="548">
        <v>56</v>
      </c>
      <c r="S982" s="423">
        <v>332</v>
      </c>
      <c r="T982" s="398"/>
      <c r="U982" s="397"/>
      <c r="V982" s="395" t="s">
        <v>884</v>
      </c>
      <c r="W982" s="422"/>
      <c r="X982" s="542"/>
      <c r="Y982" s="542"/>
      <c r="Z982" s="542"/>
    </row>
    <row r="983" spans="1:26" ht="14.25" customHeight="1">
      <c r="A983" s="419" t="s">
        <v>2706</v>
      </c>
      <c r="B983" s="441" t="s">
        <v>341</v>
      </c>
      <c r="C983" s="440" t="s">
        <v>462</v>
      </c>
      <c r="D983" s="472" t="s">
        <v>1654</v>
      </c>
      <c r="E983" s="395">
        <v>197779</v>
      </c>
      <c r="F983" s="395"/>
      <c r="G983" s="395"/>
      <c r="H983" s="395"/>
      <c r="I983" s="395"/>
      <c r="J983" s="395" t="s">
        <v>798</v>
      </c>
      <c r="K983" s="395" t="s">
        <v>798</v>
      </c>
      <c r="L983" s="419" t="s">
        <v>798</v>
      </c>
      <c r="M983" s="395" t="s">
        <v>298</v>
      </c>
      <c r="N983" s="419">
        <v>20.339799880000001</v>
      </c>
      <c r="O983" s="419">
        <v>92.782653809999999</v>
      </c>
      <c r="P983" s="395" t="s">
        <v>799</v>
      </c>
      <c r="Q983" s="395" t="s">
        <v>780</v>
      </c>
      <c r="R983" s="426"/>
      <c r="S983" s="427"/>
      <c r="T983" s="398"/>
      <c r="U983" s="397"/>
      <c r="V983" s="395"/>
      <c r="W983" s="422"/>
      <c r="X983" s="542"/>
      <c r="Y983" s="542"/>
      <c r="Z983" s="542"/>
    </row>
    <row r="984" spans="1:26" ht="14.25" customHeight="1">
      <c r="A984" s="419" t="s">
        <v>2706</v>
      </c>
      <c r="B984" s="441" t="s">
        <v>341</v>
      </c>
      <c r="C984" s="440" t="s">
        <v>550</v>
      </c>
      <c r="D984" s="472" t="s">
        <v>1654</v>
      </c>
      <c r="E984" s="395">
        <v>197671</v>
      </c>
      <c r="F984" s="395"/>
      <c r="G984" s="395"/>
      <c r="H984" s="395"/>
      <c r="I984" s="419"/>
      <c r="J984" s="395" t="s">
        <v>798</v>
      </c>
      <c r="K984" s="395" t="s">
        <v>798</v>
      </c>
      <c r="L984" s="419" t="s">
        <v>798</v>
      </c>
      <c r="M984" s="395" t="s">
        <v>298</v>
      </c>
      <c r="N984" s="419">
        <v>20.694499969999999</v>
      </c>
      <c r="O984" s="419">
        <v>92.647750849999994</v>
      </c>
      <c r="P984" s="395" t="s">
        <v>799</v>
      </c>
      <c r="Q984" s="395" t="s">
        <v>780</v>
      </c>
      <c r="R984" s="422"/>
      <c r="S984" s="422"/>
      <c r="T984" s="398" t="s">
        <v>780</v>
      </c>
      <c r="U984" s="397"/>
      <c r="V984" s="395"/>
      <c r="W984" s="548"/>
      <c r="X984" s="542"/>
      <c r="Y984" s="542"/>
      <c r="Z984" s="542"/>
    </row>
    <row r="985" spans="1:26" ht="14.25" customHeight="1">
      <c r="A985" s="542" t="s">
        <v>2706</v>
      </c>
      <c r="B985" s="566" t="s">
        <v>341</v>
      </c>
      <c r="C985" s="565" t="s">
        <v>543</v>
      </c>
      <c r="D985" s="472" t="s">
        <v>1654</v>
      </c>
      <c r="E985" s="395">
        <v>197672</v>
      </c>
      <c r="F985" s="395" t="s">
        <v>543</v>
      </c>
      <c r="G985" s="395"/>
      <c r="H985" s="419"/>
      <c r="I985" s="419"/>
      <c r="J985" s="395" t="s">
        <v>798</v>
      </c>
      <c r="K985" s="395" t="s">
        <v>798</v>
      </c>
      <c r="L985" s="395" t="s">
        <v>798</v>
      </c>
      <c r="M985" s="395" t="s">
        <v>298</v>
      </c>
      <c r="N985" s="419">
        <v>20.686460490000002</v>
      </c>
      <c r="O985" s="419">
        <v>92.682327270000002</v>
      </c>
      <c r="P985" s="395" t="s">
        <v>799</v>
      </c>
      <c r="Q985" s="395" t="s">
        <v>780</v>
      </c>
      <c r="R985" s="548"/>
      <c r="S985" s="548"/>
      <c r="T985" s="398" t="s">
        <v>780</v>
      </c>
      <c r="U985" s="550"/>
      <c r="V985" s="565"/>
      <c r="W985" s="422"/>
      <c r="X985" s="542"/>
      <c r="Y985" s="542"/>
      <c r="Z985" s="542"/>
    </row>
    <row r="986" spans="1:26" ht="14.25" customHeight="1">
      <c r="A986" s="419" t="s">
        <v>2706</v>
      </c>
      <c r="B986" s="441" t="s">
        <v>341</v>
      </c>
      <c r="C986" s="440" t="s">
        <v>547</v>
      </c>
      <c r="D986" s="472" t="s">
        <v>1654</v>
      </c>
      <c r="E986" s="395">
        <v>197669</v>
      </c>
      <c r="F986" s="546"/>
      <c r="G986" s="395"/>
      <c r="H986" s="395"/>
      <c r="I986" s="395"/>
      <c r="J986" s="395" t="s">
        <v>2715</v>
      </c>
      <c r="K986" s="395" t="s">
        <v>2677</v>
      </c>
      <c r="L986" s="395" t="s">
        <v>2677</v>
      </c>
      <c r="M986" s="395" t="s">
        <v>298</v>
      </c>
      <c r="N986" s="395">
        <v>20.688629150000001</v>
      </c>
      <c r="O986" s="395">
        <v>92.652481080000001</v>
      </c>
      <c r="P986" s="395" t="s">
        <v>799</v>
      </c>
      <c r="Q986" s="395" t="s">
        <v>780</v>
      </c>
      <c r="R986" s="422"/>
      <c r="S986" s="422"/>
      <c r="T986" s="398" t="s">
        <v>805</v>
      </c>
      <c r="U986" s="397"/>
      <c r="V986" s="395"/>
      <c r="W986" s="422"/>
      <c r="X986" s="542"/>
      <c r="Y986" s="542"/>
      <c r="Z986" s="542"/>
    </row>
    <row r="987" spans="1:26" ht="14.25" customHeight="1">
      <c r="A987" s="542" t="s">
        <v>2706</v>
      </c>
      <c r="B987" s="573" t="s">
        <v>341</v>
      </c>
      <c r="C987" s="579" t="s">
        <v>493</v>
      </c>
      <c r="D987" s="472" t="s">
        <v>1654</v>
      </c>
      <c r="E987" s="558">
        <v>197609</v>
      </c>
      <c r="F987" s="395"/>
      <c r="G987" s="395"/>
      <c r="H987" s="558"/>
      <c r="I987" s="558"/>
      <c r="J987" s="558" t="s">
        <v>798</v>
      </c>
      <c r="K987" s="558" t="s">
        <v>798</v>
      </c>
      <c r="L987" s="558" t="s">
        <v>798</v>
      </c>
      <c r="M987" s="558" t="s">
        <v>298</v>
      </c>
      <c r="N987" s="558">
        <v>20.5177002</v>
      </c>
      <c r="O987" s="558">
        <v>92.660263060000005</v>
      </c>
      <c r="P987" s="395" t="s">
        <v>799</v>
      </c>
      <c r="Q987" s="559" t="s">
        <v>780</v>
      </c>
      <c r="R987" s="548"/>
      <c r="S987" s="548"/>
      <c r="T987" s="570"/>
      <c r="U987" s="558"/>
      <c r="V987" s="419" t="s">
        <v>493</v>
      </c>
      <c r="W987" s="422"/>
      <c r="X987" s="542"/>
      <c r="Y987" s="542"/>
      <c r="Z987" s="542"/>
    </row>
    <row r="988" spans="1:26" ht="14.25" customHeight="1">
      <c r="A988" s="419" t="s">
        <v>2706</v>
      </c>
      <c r="B988" s="441" t="s">
        <v>341</v>
      </c>
      <c r="C988" s="440" t="s">
        <v>497</v>
      </c>
      <c r="D988" s="472" t="s">
        <v>1654</v>
      </c>
      <c r="E988" s="419">
        <v>197599</v>
      </c>
      <c r="F988" s="419"/>
      <c r="G988" s="395"/>
      <c r="H988" s="395"/>
      <c r="I988" s="395"/>
      <c r="J988" s="395" t="s">
        <v>798</v>
      </c>
      <c r="K988" s="419" t="s">
        <v>798</v>
      </c>
      <c r="L988" s="419" t="s">
        <v>798</v>
      </c>
      <c r="M988" s="395" t="s">
        <v>298</v>
      </c>
      <c r="N988" s="395">
        <v>20.543479919999999</v>
      </c>
      <c r="O988" s="419">
        <v>92.676979059999994</v>
      </c>
      <c r="P988" s="395" t="s">
        <v>799</v>
      </c>
      <c r="Q988" s="395" t="s">
        <v>780</v>
      </c>
      <c r="R988" s="548"/>
      <c r="S988" s="548"/>
      <c r="T988" s="398"/>
      <c r="U988" s="397"/>
      <c r="V988" s="395" t="s">
        <v>497</v>
      </c>
      <c r="W988" s="422"/>
      <c r="X988" s="542"/>
      <c r="Y988" s="542"/>
      <c r="Z988" s="542"/>
    </row>
    <row r="989" spans="1:26" ht="14.25" customHeight="1">
      <c r="A989" s="419" t="s">
        <v>2706</v>
      </c>
      <c r="B989" s="441" t="s">
        <v>341</v>
      </c>
      <c r="C989" s="440" t="s">
        <v>538</v>
      </c>
      <c r="D989" s="547" t="s">
        <v>1654</v>
      </c>
      <c r="E989" s="395">
        <v>197683</v>
      </c>
      <c r="F989" s="546"/>
      <c r="G989" s="395"/>
      <c r="H989" s="395"/>
      <c r="I989" s="395"/>
      <c r="J989" s="395" t="s">
        <v>2715</v>
      </c>
      <c r="K989" s="395" t="s">
        <v>2677</v>
      </c>
      <c r="L989" s="395" t="s">
        <v>2677</v>
      </c>
      <c r="M989" s="395" t="s">
        <v>298</v>
      </c>
      <c r="N989" s="395">
        <v>20.678159709999999</v>
      </c>
      <c r="O989" s="395">
        <v>92.713821409999994</v>
      </c>
      <c r="P989" s="395" t="s">
        <v>799</v>
      </c>
      <c r="Q989" s="395" t="s">
        <v>780</v>
      </c>
      <c r="R989" s="546"/>
      <c r="S989" s="546"/>
      <c r="T989" s="398" t="s">
        <v>780</v>
      </c>
      <c r="U989" s="397"/>
      <c r="V989" s="395"/>
      <c r="W989" s="422"/>
      <c r="X989" s="542"/>
      <c r="Y989" s="542"/>
      <c r="Z989" s="542"/>
    </row>
    <row r="990" spans="1:26" ht="14.25" customHeight="1">
      <c r="A990" s="419" t="s">
        <v>2706</v>
      </c>
      <c r="B990" s="577" t="s">
        <v>341</v>
      </c>
      <c r="C990" s="578" t="s">
        <v>910</v>
      </c>
      <c r="D990" s="547" t="s">
        <v>1654</v>
      </c>
      <c r="E990" s="395">
        <v>220694</v>
      </c>
      <c r="F990" s="395"/>
      <c r="G990" s="395"/>
      <c r="H990" s="395"/>
      <c r="I990" s="395"/>
      <c r="J990" s="395" t="s">
        <v>798</v>
      </c>
      <c r="K990" s="395" t="s">
        <v>798</v>
      </c>
      <c r="L990" s="546" t="s">
        <v>798</v>
      </c>
      <c r="M990" s="395" t="s">
        <v>298</v>
      </c>
      <c r="N990" s="419">
        <v>20.581470490000001</v>
      </c>
      <c r="O990" s="419">
        <v>92.643272400000001</v>
      </c>
      <c r="P990" s="395" t="s">
        <v>799</v>
      </c>
      <c r="Q990" s="395"/>
      <c r="R990" s="556"/>
      <c r="S990" s="423"/>
      <c r="T990" s="398"/>
      <c r="U990" s="397"/>
      <c r="V990" s="395" t="s">
        <v>911</v>
      </c>
      <c r="W990" s="422"/>
      <c r="X990" s="542"/>
      <c r="Y990" s="542"/>
      <c r="Z990" s="542"/>
    </row>
    <row r="991" spans="1:26" ht="14.25" customHeight="1">
      <c r="A991" s="542" t="s">
        <v>2706</v>
      </c>
      <c r="B991" s="566" t="s">
        <v>341</v>
      </c>
      <c r="C991" s="565" t="s">
        <v>342</v>
      </c>
      <c r="D991" s="472" t="s">
        <v>1654</v>
      </c>
      <c r="E991" s="395"/>
      <c r="F991" s="395"/>
      <c r="G991" s="395"/>
      <c r="H991" s="395"/>
      <c r="I991" s="419"/>
      <c r="J991" s="395" t="s">
        <v>798</v>
      </c>
      <c r="K991" s="395" t="s">
        <v>798</v>
      </c>
      <c r="L991" s="395" t="s">
        <v>798</v>
      </c>
      <c r="M991" s="395" t="s">
        <v>298</v>
      </c>
      <c r="N991" s="419"/>
      <c r="O991" s="419"/>
      <c r="P991" s="395" t="s">
        <v>799</v>
      </c>
      <c r="Q991" s="395" t="s">
        <v>780</v>
      </c>
      <c r="R991" s="552"/>
      <c r="S991" s="553"/>
      <c r="T991" s="398" t="s">
        <v>805</v>
      </c>
      <c r="U991" s="550"/>
      <c r="V991" s="395"/>
      <c r="W991" s="422"/>
      <c r="X991" s="542"/>
      <c r="Y991" s="542"/>
      <c r="Z991" s="542"/>
    </row>
    <row r="992" spans="1:26" ht="14.25" customHeight="1">
      <c r="A992" s="419" t="s">
        <v>2706</v>
      </c>
      <c r="B992" s="441" t="s">
        <v>341</v>
      </c>
      <c r="C992" s="440" t="s">
        <v>2760</v>
      </c>
      <c r="D992" s="472" t="s">
        <v>1654</v>
      </c>
      <c r="E992" s="395">
        <v>197586</v>
      </c>
      <c r="F992" s="395" t="s">
        <v>2027</v>
      </c>
      <c r="G992" s="395"/>
      <c r="H992" s="395"/>
      <c r="I992" s="395"/>
      <c r="J992" s="395" t="s">
        <v>798</v>
      </c>
      <c r="K992" s="395" t="s">
        <v>798</v>
      </c>
      <c r="L992" s="395" t="s">
        <v>798</v>
      </c>
      <c r="M992" s="395" t="s">
        <v>298</v>
      </c>
      <c r="N992" s="395">
        <v>20.58996964</v>
      </c>
      <c r="O992" s="395">
        <v>92.691757199999998</v>
      </c>
      <c r="P992" s="395" t="s">
        <v>799</v>
      </c>
      <c r="Q992" s="395" t="s">
        <v>780</v>
      </c>
      <c r="R992" s="422"/>
      <c r="S992" s="548"/>
      <c r="T992" s="398"/>
      <c r="U992" s="397"/>
      <c r="V992" s="395" t="s">
        <v>510</v>
      </c>
      <c r="W992" s="582"/>
      <c r="X992" s="542"/>
      <c r="Y992" s="542"/>
      <c r="Z992" s="542"/>
    </row>
    <row r="993" spans="1:26" ht="14.25" customHeight="1">
      <c r="A993" s="419" t="s">
        <v>2706</v>
      </c>
      <c r="B993" s="441" t="s">
        <v>341</v>
      </c>
      <c r="C993" s="440" t="s">
        <v>2877</v>
      </c>
      <c r="D993" s="472" t="s">
        <v>1654</v>
      </c>
      <c r="E993" s="395">
        <v>197589</v>
      </c>
      <c r="F993" s="395" t="s">
        <v>908</v>
      </c>
      <c r="G993" s="395"/>
      <c r="H993" s="419"/>
      <c r="I993" s="419"/>
      <c r="J993" s="395" t="s">
        <v>2715</v>
      </c>
      <c r="K993" s="395" t="s">
        <v>2677</v>
      </c>
      <c r="L993" s="395" t="s">
        <v>2677</v>
      </c>
      <c r="M993" s="395"/>
      <c r="N993" s="419">
        <v>20.575780868530298</v>
      </c>
      <c r="O993" s="419">
        <v>92.670402526855497</v>
      </c>
      <c r="P993" s="395"/>
      <c r="Q993" s="395"/>
      <c r="R993" s="422"/>
      <c r="S993" s="549"/>
      <c r="T993" s="398"/>
      <c r="U993" s="397"/>
      <c r="V993" s="395" t="s">
        <v>2841</v>
      </c>
      <c r="W993" s="422"/>
      <c r="X993" s="542"/>
      <c r="Y993" s="542"/>
      <c r="Z993" s="542"/>
    </row>
    <row r="994" spans="1:26" ht="14.25" customHeight="1">
      <c r="A994" s="552" t="s">
        <v>2706</v>
      </c>
      <c r="B994" s="577" t="s">
        <v>341</v>
      </c>
      <c r="C994" s="578" t="s">
        <v>2847</v>
      </c>
      <c r="D994" s="547"/>
      <c r="E994" s="395"/>
      <c r="F994" s="542"/>
      <c r="G994" s="395"/>
      <c r="H994" s="419"/>
      <c r="I994" s="419"/>
      <c r="J994" s="395" t="s">
        <v>2715</v>
      </c>
      <c r="K994" s="395" t="s">
        <v>2677</v>
      </c>
      <c r="L994" s="395" t="s">
        <v>2677</v>
      </c>
      <c r="M994" s="395"/>
      <c r="N994" s="419"/>
      <c r="O994" s="419"/>
      <c r="P994" s="395"/>
      <c r="Q994" s="395"/>
      <c r="R994" s="556"/>
      <c r="S994" s="423"/>
      <c r="T994" s="398">
        <v>43591</v>
      </c>
      <c r="U994" s="556"/>
      <c r="V994" s="553" t="s">
        <v>2847</v>
      </c>
      <c r="W994" s="422"/>
      <c r="X994" s="542"/>
      <c r="Y994" s="542"/>
      <c r="Z994" s="542"/>
    </row>
    <row r="995" spans="1:26" ht="14.25" customHeight="1">
      <c r="A995" s="542" t="s">
        <v>2706</v>
      </c>
      <c r="B995" s="566" t="s">
        <v>341</v>
      </c>
      <c r="C995" s="565" t="s">
        <v>887</v>
      </c>
      <c r="D995" s="472" t="s">
        <v>1654</v>
      </c>
      <c r="E995" s="395">
        <v>197765</v>
      </c>
      <c r="F995" s="395"/>
      <c r="G995" s="395"/>
      <c r="H995" s="419"/>
      <c r="I995" s="419"/>
      <c r="J995" s="395" t="s">
        <v>798</v>
      </c>
      <c r="K995" s="395" t="s">
        <v>798</v>
      </c>
      <c r="L995" s="395" t="s">
        <v>798</v>
      </c>
      <c r="M995" s="395" t="s">
        <v>298</v>
      </c>
      <c r="N995" s="419">
        <v>20.3917</v>
      </c>
      <c r="O995" s="419">
        <v>92.770899999999997</v>
      </c>
      <c r="P995" s="395" t="s">
        <v>799</v>
      </c>
      <c r="Q995" s="395"/>
      <c r="R995" s="548"/>
      <c r="S995" s="548"/>
      <c r="T995" s="398"/>
      <c r="U995" s="550"/>
      <c r="V995" s="395" t="s">
        <v>887</v>
      </c>
      <c r="W995" s="422"/>
      <c r="X995" s="542"/>
      <c r="Y995" s="542"/>
      <c r="Z995" s="542"/>
    </row>
    <row r="996" spans="1:26" ht="14.25" customHeight="1">
      <c r="A996" s="552" t="s">
        <v>2706</v>
      </c>
      <c r="B996" s="577" t="s">
        <v>341</v>
      </c>
      <c r="C996" s="578" t="s">
        <v>2848</v>
      </c>
      <c r="D996" s="547"/>
      <c r="E996" s="395"/>
      <c r="F996" s="395"/>
      <c r="G996" s="395"/>
      <c r="H996" s="395"/>
      <c r="I996" s="395"/>
      <c r="J996" s="419" t="s">
        <v>2715</v>
      </c>
      <c r="K996" s="419" t="s">
        <v>2677</v>
      </c>
      <c r="L996" s="419" t="s">
        <v>2677</v>
      </c>
      <c r="M996" s="395"/>
      <c r="N996" s="395"/>
      <c r="O996" s="395"/>
      <c r="P996" s="395"/>
      <c r="Q996" s="395"/>
      <c r="R996" s="556"/>
      <c r="S996" s="396"/>
      <c r="T996" s="398">
        <v>43591</v>
      </c>
      <c r="U996" s="556"/>
      <c r="V996" s="395"/>
      <c r="W996" s="422"/>
      <c r="X996" s="542"/>
      <c r="Y996" s="542"/>
      <c r="Z996" s="542"/>
    </row>
    <row r="997" spans="1:26" ht="14.25" customHeight="1">
      <c r="A997" s="419" t="s">
        <v>2706</v>
      </c>
      <c r="B997" s="441" t="s">
        <v>341</v>
      </c>
      <c r="C997" s="440" t="s">
        <v>565</v>
      </c>
      <c r="D997" s="472" t="s">
        <v>1654</v>
      </c>
      <c r="E997" s="395">
        <v>197666</v>
      </c>
      <c r="F997" s="395"/>
      <c r="G997" s="395"/>
      <c r="H997" s="419"/>
      <c r="I997" s="419"/>
      <c r="J997" s="419" t="s">
        <v>798</v>
      </c>
      <c r="K997" s="419" t="s">
        <v>798</v>
      </c>
      <c r="L997" s="419" t="s">
        <v>798</v>
      </c>
      <c r="M997" s="395" t="s">
        <v>795</v>
      </c>
      <c r="N997" s="419">
        <v>20.716560359999999</v>
      </c>
      <c r="O997" s="419">
        <v>92.645408630000006</v>
      </c>
      <c r="P997" s="395" t="s">
        <v>799</v>
      </c>
      <c r="Q997" s="395" t="s">
        <v>780</v>
      </c>
      <c r="R997" s="552"/>
      <c r="S997" s="553"/>
      <c r="T997" s="398" t="s">
        <v>805</v>
      </c>
      <c r="U997" s="397"/>
      <c r="V997" s="419"/>
      <c r="W997" s="422"/>
      <c r="X997" s="542"/>
      <c r="Y997" s="542"/>
      <c r="Z997" s="542"/>
    </row>
    <row r="998" spans="1:26" ht="14.25" customHeight="1">
      <c r="A998" s="542" t="s">
        <v>2706</v>
      </c>
      <c r="B998" s="566" t="s">
        <v>341</v>
      </c>
      <c r="C998" s="565" t="s">
        <v>575</v>
      </c>
      <c r="D998" s="472" t="s">
        <v>1654</v>
      </c>
      <c r="E998" s="395">
        <v>197665</v>
      </c>
      <c r="F998" s="395"/>
      <c r="G998" s="395"/>
      <c r="H998" s="395"/>
      <c r="I998" s="395"/>
      <c r="J998" s="395" t="s">
        <v>798</v>
      </c>
      <c r="K998" s="395" t="s">
        <v>798</v>
      </c>
      <c r="L998" s="395" t="s">
        <v>798</v>
      </c>
      <c r="M998" s="395" t="s">
        <v>298</v>
      </c>
      <c r="N998" s="395">
        <v>20.72533035</v>
      </c>
      <c r="O998" s="395">
        <v>92.64795685</v>
      </c>
      <c r="P998" s="395" t="s">
        <v>799</v>
      </c>
      <c r="Q998" s="395" t="s">
        <v>780</v>
      </c>
      <c r="R998" s="552"/>
      <c r="S998" s="553"/>
      <c r="T998" s="398" t="s">
        <v>805</v>
      </c>
      <c r="U998" s="550"/>
      <c r="V998" s="395"/>
      <c r="W998" s="422"/>
      <c r="X998" s="542"/>
      <c r="Y998" s="542"/>
      <c r="Z998" s="542"/>
    </row>
    <row r="999" spans="1:26" ht="14.25" customHeight="1">
      <c r="A999" s="419" t="s">
        <v>2706</v>
      </c>
      <c r="B999" s="441" t="s">
        <v>341</v>
      </c>
      <c r="C999" s="440" t="s">
        <v>495</v>
      </c>
      <c r="D999" s="472" t="s">
        <v>1654</v>
      </c>
      <c r="E999" s="395">
        <v>197595</v>
      </c>
      <c r="F999" s="395" t="s">
        <v>505</v>
      </c>
      <c r="G999" s="395"/>
      <c r="H999" s="419"/>
      <c r="I999" s="419"/>
      <c r="J999" s="395" t="s">
        <v>798</v>
      </c>
      <c r="K999" s="419" t="s">
        <v>798</v>
      </c>
      <c r="L999" s="419" t="s">
        <v>798</v>
      </c>
      <c r="M999" s="395" t="s">
        <v>298</v>
      </c>
      <c r="N999" s="419">
        <v>20.523090360000001</v>
      </c>
      <c r="O999" s="419">
        <v>92.637947080000004</v>
      </c>
      <c r="P999" s="395" t="s">
        <v>799</v>
      </c>
      <c r="Q999" s="395" t="s">
        <v>780</v>
      </c>
      <c r="R999" s="422"/>
      <c r="S999" s="423"/>
      <c r="T999" s="398"/>
      <c r="U999" s="397"/>
      <c r="V999" s="395" t="s">
        <v>495</v>
      </c>
      <c r="W999" s="422"/>
      <c r="X999" s="542"/>
      <c r="Y999" s="542"/>
      <c r="Z999" s="542"/>
    </row>
    <row r="1000" spans="1:26" ht="14.25" customHeight="1">
      <c r="A1000" s="552" t="s">
        <v>2706</v>
      </c>
      <c r="B1000" s="577" t="s">
        <v>341</v>
      </c>
      <c r="C1000" s="578" t="s">
        <v>2846</v>
      </c>
      <c r="D1000" s="547"/>
      <c r="E1000" s="395">
        <v>197677</v>
      </c>
      <c r="F1000" s="395"/>
      <c r="G1000" s="395"/>
      <c r="H1000" s="395"/>
      <c r="I1000" s="419"/>
      <c r="J1000" s="395" t="s">
        <v>2715</v>
      </c>
      <c r="K1000" s="395" t="s">
        <v>2677</v>
      </c>
      <c r="L1000" s="419" t="s">
        <v>2677</v>
      </c>
      <c r="M1000" s="395"/>
      <c r="N1000" s="419">
        <v>20.660871505737301</v>
      </c>
      <c r="O1000" s="419">
        <v>92.683090209960895</v>
      </c>
      <c r="P1000" s="395"/>
      <c r="Q1000" s="395"/>
      <c r="R1000" s="556"/>
      <c r="S1000" s="423"/>
      <c r="T1000" s="398">
        <v>43591</v>
      </c>
      <c r="U1000" s="556"/>
      <c r="V1000" s="395"/>
      <c r="W1000" s="548"/>
      <c r="X1000" s="542"/>
      <c r="Y1000" s="542"/>
      <c r="Z1000" s="542"/>
    </row>
    <row r="1001" spans="1:26" ht="14.25" customHeight="1">
      <c r="A1001" s="419" t="s">
        <v>2706</v>
      </c>
      <c r="B1001" s="441" t="s">
        <v>341</v>
      </c>
      <c r="C1001" s="440" t="s">
        <v>500</v>
      </c>
      <c r="D1001" s="472" t="s">
        <v>1654</v>
      </c>
      <c r="E1001" s="395">
        <v>197600</v>
      </c>
      <c r="F1001" s="395"/>
      <c r="G1001" s="395"/>
      <c r="H1001" s="419"/>
      <c r="I1001" s="419"/>
      <c r="J1001" s="395" t="s">
        <v>798</v>
      </c>
      <c r="K1001" s="395" t="s">
        <v>798</v>
      </c>
      <c r="L1001" s="395" t="s">
        <v>798</v>
      </c>
      <c r="M1001" s="395" t="s">
        <v>795</v>
      </c>
      <c r="N1001" s="419">
        <v>20.550130840000001</v>
      </c>
      <c r="O1001" s="419">
        <v>92.656723020000001</v>
      </c>
      <c r="P1001" s="395" t="s">
        <v>799</v>
      </c>
      <c r="Q1001" s="395" t="s">
        <v>780</v>
      </c>
      <c r="R1001" s="422"/>
      <c r="S1001" s="423"/>
      <c r="T1001" s="398"/>
      <c r="U1001" s="397"/>
      <c r="V1001" s="395" t="s">
        <v>500</v>
      </c>
      <c r="W1001" s="548"/>
      <c r="X1001" s="542"/>
      <c r="Y1001" s="542"/>
      <c r="Z1001" s="542"/>
    </row>
    <row r="1002" spans="1:26" ht="14.25" customHeight="1">
      <c r="A1002" s="419" t="s">
        <v>2706</v>
      </c>
      <c r="B1002" s="441" t="s">
        <v>341</v>
      </c>
      <c r="C1002" s="440" t="s">
        <v>486</v>
      </c>
      <c r="D1002" s="472" t="s">
        <v>1654</v>
      </c>
      <c r="E1002" s="395">
        <v>197614</v>
      </c>
      <c r="F1002" s="395" t="s">
        <v>486</v>
      </c>
      <c r="G1002" s="395"/>
      <c r="H1002" s="395"/>
      <c r="I1002" s="395"/>
      <c r="J1002" s="395" t="s">
        <v>798</v>
      </c>
      <c r="K1002" s="395" t="s">
        <v>798</v>
      </c>
      <c r="L1002" s="395" t="s">
        <v>798</v>
      </c>
      <c r="M1002" s="395" t="s">
        <v>298</v>
      </c>
      <c r="N1002" s="395">
        <v>20.48693085</v>
      </c>
      <c r="O1002" s="395">
        <v>92.662757869999993</v>
      </c>
      <c r="P1002" s="395" t="s">
        <v>799</v>
      </c>
      <c r="Q1002" s="395" t="s">
        <v>802</v>
      </c>
      <c r="R1002" s="422"/>
      <c r="S1002" s="548"/>
      <c r="T1002" s="398">
        <v>42926</v>
      </c>
      <c r="U1002" s="397" t="s">
        <v>803</v>
      </c>
      <c r="V1002" s="395"/>
      <c r="W1002" s="548"/>
      <c r="X1002" s="542"/>
      <c r="Y1002" s="542"/>
      <c r="Z1002" s="542"/>
    </row>
    <row r="1003" spans="1:26" ht="14.25" customHeight="1">
      <c r="A1003" s="419" t="s">
        <v>2706</v>
      </c>
      <c r="B1003" s="441" t="s">
        <v>341</v>
      </c>
      <c r="C1003" s="440" t="s">
        <v>483</v>
      </c>
      <c r="D1003" s="472" t="s">
        <v>1654</v>
      </c>
      <c r="E1003" s="395">
        <v>197617</v>
      </c>
      <c r="F1003" s="546" t="s">
        <v>483</v>
      </c>
      <c r="G1003" s="395"/>
      <c r="H1003" s="395"/>
      <c r="I1003" s="395"/>
      <c r="J1003" s="395" t="s">
        <v>798</v>
      </c>
      <c r="K1003" s="395" t="s">
        <v>798</v>
      </c>
      <c r="L1003" s="395" t="s">
        <v>798</v>
      </c>
      <c r="M1003" s="395" t="s">
        <v>298</v>
      </c>
      <c r="N1003" s="395">
        <v>20.47896957</v>
      </c>
      <c r="O1003" s="395">
        <v>92.683746339999999</v>
      </c>
      <c r="P1003" s="395" t="s">
        <v>799</v>
      </c>
      <c r="Q1003" s="395" t="s">
        <v>802</v>
      </c>
      <c r="R1003" s="422"/>
      <c r="S1003" s="396"/>
      <c r="T1003" s="398">
        <v>42926</v>
      </c>
      <c r="U1003" s="397" t="s">
        <v>803</v>
      </c>
      <c r="V1003" s="395"/>
      <c r="W1003" s="548"/>
      <c r="X1003" s="542"/>
      <c r="Y1003" s="542"/>
      <c r="Z1003" s="542"/>
    </row>
    <row r="1004" spans="1:26" ht="14.25" customHeight="1">
      <c r="A1004" s="552" t="s">
        <v>2706</v>
      </c>
      <c r="B1004" s="577" t="s">
        <v>341</v>
      </c>
      <c r="C1004" s="578" t="s">
        <v>2842</v>
      </c>
      <c r="D1004" s="547"/>
      <c r="E1004" s="395"/>
      <c r="F1004" s="395"/>
      <c r="G1004" s="395"/>
      <c r="H1004" s="395"/>
      <c r="I1004" s="395"/>
      <c r="J1004" s="395" t="s">
        <v>2715</v>
      </c>
      <c r="K1004" s="395" t="s">
        <v>2677</v>
      </c>
      <c r="L1004" s="395" t="s">
        <v>2677</v>
      </c>
      <c r="M1004" s="395"/>
      <c r="N1004" s="395"/>
      <c r="O1004" s="395"/>
      <c r="P1004" s="395"/>
      <c r="Q1004" s="395"/>
      <c r="R1004" s="556"/>
      <c r="S1004" s="396"/>
      <c r="T1004" s="398">
        <v>43591</v>
      </c>
      <c r="U1004" s="556"/>
      <c r="V1004" s="395"/>
      <c r="W1004" s="548"/>
      <c r="X1004" s="542"/>
      <c r="Y1004" s="542"/>
      <c r="Z1004" s="542"/>
    </row>
    <row r="1005" spans="1:26" ht="14.25" customHeight="1">
      <c r="A1005" s="419" t="s">
        <v>2706</v>
      </c>
      <c r="B1005" s="441" t="s">
        <v>341</v>
      </c>
      <c r="C1005" s="440" t="s">
        <v>527</v>
      </c>
      <c r="D1005" s="472" t="s">
        <v>1654</v>
      </c>
      <c r="E1005" s="395">
        <v>197673</v>
      </c>
      <c r="F1005" s="395"/>
      <c r="G1005" s="395"/>
      <c r="H1005" s="395"/>
      <c r="I1005" s="395"/>
      <c r="J1005" s="395" t="s">
        <v>2715</v>
      </c>
      <c r="K1005" s="395" t="s">
        <v>2677</v>
      </c>
      <c r="L1005" s="395" t="s">
        <v>2677</v>
      </c>
      <c r="M1005" s="395" t="s">
        <v>298</v>
      </c>
      <c r="N1005" s="395">
        <v>20.66592979</v>
      </c>
      <c r="O1005" s="395">
        <v>92.672691349999994</v>
      </c>
      <c r="P1005" s="395" t="s">
        <v>799</v>
      </c>
      <c r="Q1005" s="395" t="s">
        <v>780</v>
      </c>
      <c r="R1005" s="422"/>
      <c r="S1005" s="396"/>
      <c r="T1005" s="398" t="s">
        <v>780</v>
      </c>
      <c r="U1005" s="397"/>
      <c r="V1005" s="395"/>
      <c r="W1005" s="548"/>
      <c r="X1005" s="542"/>
      <c r="Y1005" s="542"/>
      <c r="Z1005" s="542"/>
    </row>
    <row r="1006" spans="1:26" ht="14.25" customHeight="1">
      <c r="A1006" s="552" t="s">
        <v>2706</v>
      </c>
      <c r="B1006" s="577" t="s">
        <v>341</v>
      </c>
      <c r="C1006" s="578" t="s">
        <v>531</v>
      </c>
      <c r="D1006" s="547"/>
      <c r="E1006" s="395">
        <v>197675</v>
      </c>
      <c r="F1006" s="419"/>
      <c r="G1006" s="395"/>
      <c r="H1006" s="395"/>
      <c r="I1006" s="419"/>
      <c r="J1006" s="419" t="s">
        <v>2715</v>
      </c>
      <c r="K1006" s="419" t="s">
        <v>2677</v>
      </c>
      <c r="L1006" s="419" t="s">
        <v>2677</v>
      </c>
      <c r="M1006" s="395" t="s">
        <v>298</v>
      </c>
      <c r="N1006" s="419">
        <v>20.670539860000002</v>
      </c>
      <c r="O1006" s="419">
        <v>92.703033450000007</v>
      </c>
      <c r="P1006" s="395" t="s">
        <v>799</v>
      </c>
      <c r="Q1006" s="395"/>
      <c r="R1006" s="556"/>
      <c r="S1006" s="423"/>
      <c r="T1006" s="398">
        <v>43591</v>
      </c>
      <c r="U1006" s="556"/>
      <c r="V1006" s="542"/>
      <c r="W1006" s="548"/>
      <c r="X1006" s="542"/>
      <c r="Y1006" s="542"/>
      <c r="Z1006" s="542"/>
    </row>
    <row r="1007" spans="1:26" ht="14.25" customHeight="1">
      <c r="A1007" s="419" t="s">
        <v>2706</v>
      </c>
      <c r="B1007" s="441" t="s">
        <v>341</v>
      </c>
      <c r="C1007" s="440" t="s">
        <v>480</v>
      </c>
      <c r="D1007" s="472" t="s">
        <v>1654</v>
      </c>
      <c r="E1007" s="395">
        <v>197632</v>
      </c>
      <c r="F1007" s="395"/>
      <c r="G1007" s="395"/>
      <c r="H1007" s="395"/>
      <c r="I1007" s="419"/>
      <c r="J1007" s="395" t="s">
        <v>798</v>
      </c>
      <c r="K1007" s="395" t="s">
        <v>798</v>
      </c>
      <c r="L1007" s="395" t="s">
        <v>798</v>
      </c>
      <c r="M1007" s="395" t="s">
        <v>298</v>
      </c>
      <c r="N1007" s="419">
        <v>20.469949719999999</v>
      </c>
      <c r="O1007" s="419">
        <v>92.676437379999996</v>
      </c>
      <c r="P1007" s="395" t="s">
        <v>799</v>
      </c>
      <c r="Q1007" s="395" t="s">
        <v>802</v>
      </c>
      <c r="R1007" s="422"/>
      <c r="S1007" s="423"/>
      <c r="T1007" s="398">
        <v>42926</v>
      </c>
      <c r="U1007" s="397" t="s">
        <v>803</v>
      </c>
      <c r="V1007" s="395"/>
      <c r="W1007" s="548"/>
      <c r="X1007" s="542"/>
      <c r="Y1007" s="542"/>
      <c r="Z1007" s="542"/>
    </row>
    <row r="1008" spans="1:26" ht="14.25" customHeight="1">
      <c r="A1008" s="419" t="s">
        <v>298</v>
      </c>
      <c r="B1008" s="441" t="s">
        <v>329</v>
      </c>
      <c r="C1008" s="440" t="s">
        <v>388</v>
      </c>
      <c r="D1008" s="472" t="s">
        <v>1654</v>
      </c>
      <c r="E1008" s="395">
        <v>199157</v>
      </c>
      <c r="F1008" s="395"/>
      <c r="G1008" s="395"/>
      <c r="H1008" s="395"/>
      <c r="I1008" s="395"/>
      <c r="J1008" s="395" t="s">
        <v>804</v>
      </c>
      <c r="K1008" s="395" t="s">
        <v>798</v>
      </c>
      <c r="L1008" s="395" t="s">
        <v>804</v>
      </c>
      <c r="M1008" s="395" t="s">
        <v>807</v>
      </c>
      <c r="N1008" s="395">
        <v>19.726810459999999</v>
      </c>
      <c r="O1008" s="395">
        <v>94.028686519999994</v>
      </c>
      <c r="P1008" s="395" t="s">
        <v>923</v>
      </c>
      <c r="Q1008" s="395" t="s">
        <v>780</v>
      </c>
      <c r="R1008" s="422"/>
      <c r="S1008" s="396"/>
      <c r="T1008" s="398" t="s">
        <v>805</v>
      </c>
      <c r="U1008" s="397"/>
      <c r="V1008" s="395" t="s">
        <v>388</v>
      </c>
      <c r="W1008" s="419"/>
      <c r="X1008" s="542"/>
      <c r="Y1008" s="542"/>
      <c r="Z1008" s="542"/>
    </row>
    <row r="1009" spans="1:26" ht="14.25" customHeight="1">
      <c r="A1009" s="419" t="s">
        <v>298</v>
      </c>
      <c r="B1009" s="441" t="s">
        <v>329</v>
      </c>
      <c r="C1009" s="440" t="s">
        <v>400</v>
      </c>
      <c r="D1009" s="472" t="s">
        <v>1654</v>
      </c>
      <c r="E1009" s="419">
        <v>199233</v>
      </c>
      <c r="F1009" s="419"/>
      <c r="G1009" s="419"/>
      <c r="H1009" s="419"/>
      <c r="I1009" s="419"/>
      <c r="J1009" s="419" t="s">
        <v>804</v>
      </c>
      <c r="K1009" s="419" t="s">
        <v>798</v>
      </c>
      <c r="L1009" s="419" t="s">
        <v>804</v>
      </c>
      <c r="M1009" s="419" t="s">
        <v>298</v>
      </c>
      <c r="N1009" s="419">
        <v>19.994710919999999</v>
      </c>
      <c r="O1009" s="419">
        <v>93.836921689999997</v>
      </c>
      <c r="P1009" s="419" t="s">
        <v>923</v>
      </c>
      <c r="Q1009" s="419" t="s">
        <v>780</v>
      </c>
      <c r="R1009" s="422"/>
      <c r="S1009" s="423"/>
      <c r="T1009" s="442" t="s">
        <v>805</v>
      </c>
      <c r="U1009" s="424"/>
      <c r="V1009" s="419" t="s">
        <v>400</v>
      </c>
      <c r="W1009" s="419"/>
      <c r="X1009" s="542"/>
      <c r="Y1009" s="542"/>
      <c r="Z1009" s="542"/>
    </row>
    <row r="1010" spans="1:26" ht="14.25" customHeight="1">
      <c r="A1010" s="419" t="s">
        <v>298</v>
      </c>
      <c r="B1010" s="441" t="s">
        <v>329</v>
      </c>
      <c r="C1010" s="440" t="s">
        <v>395</v>
      </c>
      <c r="D1010" s="472" t="s">
        <v>1654</v>
      </c>
      <c r="E1010" s="395">
        <v>199235</v>
      </c>
      <c r="F1010" s="395"/>
      <c r="G1010" s="395"/>
      <c r="H1010" s="395"/>
      <c r="I1010" s="395"/>
      <c r="J1010" s="395" t="s">
        <v>804</v>
      </c>
      <c r="K1010" s="395" t="s">
        <v>798</v>
      </c>
      <c r="L1010" s="395" t="s">
        <v>804</v>
      </c>
      <c r="M1010" s="395" t="s">
        <v>298</v>
      </c>
      <c r="N1010" s="419">
        <v>19.98567963</v>
      </c>
      <c r="O1010" s="419">
        <v>93.843322749999999</v>
      </c>
      <c r="P1010" s="395" t="s">
        <v>923</v>
      </c>
      <c r="Q1010" s="395" t="s">
        <v>780</v>
      </c>
      <c r="R1010" s="422"/>
      <c r="S1010" s="423"/>
      <c r="T1010" s="398" t="s">
        <v>805</v>
      </c>
      <c r="U1010" s="397"/>
      <c r="V1010" s="395" t="s">
        <v>395</v>
      </c>
      <c r="W1010" s="419"/>
      <c r="X1010" s="542"/>
      <c r="Y1010" s="542"/>
      <c r="Z1010" s="542"/>
    </row>
    <row r="1011" spans="1:26" ht="14.25" customHeight="1">
      <c r="A1011" s="419" t="s">
        <v>298</v>
      </c>
      <c r="B1011" s="441" t="s">
        <v>329</v>
      </c>
      <c r="C1011" s="440" t="s">
        <v>397</v>
      </c>
      <c r="D1011" s="472" t="s">
        <v>1654</v>
      </c>
      <c r="E1011" s="395">
        <v>199236</v>
      </c>
      <c r="F1011" s="395"/>
      <c r="G1011" s="395"/>
      <c r="H1011" s="395"/>
      <c r="I1011" s="395"/>
      <c r="J1011" s="395" t="s">
        <v>804</v>
      </c>
      <c r="K1011" s="395" t="s">
        <v>798</v>
      </c>
      <c r="L1011" s="395" t="s">
        <v>804</v>
      </c>
      <c r="M1011" s="395" t="s">
        <v>298</v>
      </c>
      <c r="N1011" s="419">
        <v>19.98868942</v>
      </c>
      <c r="O1011" s="419">
        <v>93.842460630000005</v>
      </c>
      <c r="P1011" s="395" t="s">
        <v>923</v>
      </c>
      <c r="Q1011" s="395" t="s">
        <v>780</v>
      </c>
      <c r="R1011" s="422"/>
      <c r="S1011" s="423"/>
      <c r="T1011" s="398" t="s">
        <v>805</v>
      </c>
      <c r="U1011" s="397"/>
      <c r="V1011" s="395" t="s">
        <v>397</v>
      </c>
      <c r="W1011" s="419"/>
      <c r="X1011" s="542"/>
      <c r="Y1011" s="542"/>
      <c r="Z1011" s="542"/>
    </row>
    <row r="1012" spans="1:26" ht="14.25" customHeight="1">
      <c r="A1012" s="419" t="s">
        <v>298</v>
      </c>
      <c r="B1012" s="441" t="s">
        <v>329</v>
      </c>
      <c r="C1012" s="440" t="s">
        <v>377</v>
      </c>
      <c r="D1012" s="472" t="s">
        <v>1654</v>
      </c>
      <c r="E1012" s="419">
        <v>199264</v>
      </c>
      <c r="F1012" s="419"/>
      <c r="G1012" s="419"/>
      <c r="H1012" s="419"/>
      <c r="I1012" s="419"/>
      <c r="J1012" s="419" t="s">
        <v>804</v>
      </c>
      <c r="K1012" s="419" t="s">
        <v>798</v>
      </c>
      <c r="L1012" s="419" t="s">
        <v>804</v>
      </c>
      <c r="M1012" s="419" t="s">
        <v>298</v>
      </c>
      <c r="N1012" s="419">
        <v>19.61097908</v>
      </c>
      <c r="O1012" s="419">
        <v>93.984741209999996</v>
      </c>
      <c r="P1012" s="419" t="s">
        <v>923</v>
      </c>
      <c r="Q1012" s="419" t="s">
        <v>780</v>
      </c>
      <c r="R1012" s="422"/>
      <c r="S1012" s="423"/>
      <c r="T1012" s="442" t="s">
        <v>805</v>
      </c>
      <c r="U1012" s="424"/>
      <c r="V1012" s="419" t="s">
        <v>377</v>
      </c>
      <c r="W1012" s="419"/>
      <c r="X1012" s="542"/>
      <c r="Y1012" s="542"/>
      <c r="Z1012" s="542"/>
    </row>
    <row r="1013" spans="1:26" ht="14.25" customHeight="1">
      <c r="A1013" s="419" t="s">
        <v>298</v>
      </c>
      <c r="B1013" s="441" t="s">
        <v>329</v>
      </c>
      <c r="C1013" s="440" t="s">
        <v>386</v>
      </c>
      <c r="D1013" s="472" t="s">
        <v>1654</v>
      </c>
      <c r="E1013" s="419">
        <v>199159</v>
      </c>
      <c r="F1013" s="419"/>
      <c r="G1013" s="419"/>
      <c r="H1013" s="419"/>
      <c r="I1013" s="419"/>
      <c r="J1013" s="419" t="s">
        <v>804</v>
      </c>
      <c r="K1013" s="419" t="s">
        <v>798</v>
      </c>
      <c r="L1013" s="419" t="s">
        <v>804</v>
      </c>
      <c r="M1013" s="419" t="s">
        <v>298</v>
      </c>
      <c r="N1013" s="419">
        <v>19.721389769999998</v>
      </c>
      <c r="O1013" s="419">
        <v>94.019851680000002</v>
      </c>
      <c r="P1013" s="419" t="s">
        <v>923</v>
      </c>
      <c r="Q1013" s="419" t="s">
        <v>780</v>
      </c>
      <c r="R1013" s="422"/>
      <c r="S1013" s="423"/>
      <c r="T1013" s="442" t="s">
        <v>805</v>
      </c>
      <c r="U1013" s="424"/>
      <c r="V1013" s="419" t="s">
        <v>386</v>
      </c>
      <c r="W1013" s="419"/>
      <c r="X1013" s="542"/>
      <c r="Y1013" s="542"/>
      <c r="Z1013" s="542"/>
    </row>
    <row r="1014" spans="1:26" ht="14.25" customHeight="1">
      <c r="A1014" s="419" t="s">
        <v>298</v>
      </c>
      <c r="B1014" s="441" t="s">
        <v>329</v>
      </c>
      <c r="C1014" s="468" t="s">
        <v>401</v>
      </c>
      <c r="D1014" s="472" t="s">
        <v>1654</v>
      </c>
      <c r="E1014" s="419">
        <v>199240</v>
      </c>
      <c r="F1014" s="419"/>
      <c r="G1014" s="419"/>
      <c r="H1014" s="419"/>
      <c r="I1014" s="419"/>
      <c r="J1014" s="419" t="s">
        <v>804</v>
      </c>
      <c r="K1014" s="419" t="s">
        <v>798</v>
      </c>
      <c r="L1014" s="419" t="s">
        <v>804</v>
      </c>
      <c r="M1014" s="419" t="s">
        <v>298</v>
      </c>
      <c r="N1014" s="419">
        <v>20.008769990000001</v>
      </c>
      <c r="O1014" s="419">
        <v>93.816879270000001</v>
      </c>
      <c r="P1014" s="419" t="s">
        <v>923</v>
      </c>
      <c r="Q1014" s="419" t="s">
        <v>780</v>
      </c>
      <c r="R1014" s="422"/>
      <c r="S1014" s="423"/>
      <c r="T1014" s="442" t="s">
        <v>805</v>
      </c>
      <c r="U1014" s="424"/>
      <c r="V1014" s="413" t="s">
        <v>401</v>
      </c>
      <c r="W1014" s="419"/>
      <c r="X1014" s="542"/>
      <c r="Y1014" s="542"/>
      <c r="Z1014" s="542"/>
    </row>
    <row r="1015" spans="1:26" ht="14.25" customHeight="1">
      <c r="A1015" s="419" t="s">
        <v>298</v>
      </c>
      <c r="B1015" s="441" t="s">
        <v>329</v>
      </c>
      <c r="C1015" s="440" t="s">
        <v>393</v>
      </c>
      <c r="D1015" s="472" t="s">
        <v>1654</v>
      </c>
      <c r="E1015" s="419">
        <v>199134</v>
      </c>
      <c r="F1015" s="419"/>
      <c r="G1015" s="419"/>
      <c r="H1015" s="419"/>
      <c r="I1015" s="419"/>
      <c r="J1015" s="419" t="s">
        <v>804</v>
      </c>
      <c r="K1015" s="419" t="s">
        <v>798</v>
      </c>
      <c r="L1015" s="419" t="s">
        <v>804</v>
      </c>
      <c r="M1015" s="419" t="s">
        <v>811</v>
      </c>
      <c r="N1015" s="419">
        <v>19.95569038</v>
      </c>
      <c r="O1015" s="419">
        <v>93.80155182</v>
      </c>
      <c r="P1015" s="419" t="s">
        <v>923</v>
      </c>
      <c r="Q1015" s="419" t="s">
        <v>780</v>
      </c>
      <c r="R1015" s="422"/>
      <c r="S1015" s="423"/>
      <c r="T1015" s="442" t="s">
        <v>805</v>
      </c>
      <c r="U1015" s="424"/>
      <c r="V1015" s="419" t="s">
        <v>812</v>
      </c>
      <c r="W1015" s="419"/>
      <c r="X1015" s="548"/>
      <c r="Y1015" s="542"/>
      <c r="Z1015" s="542"/>
    </row>
    <row r="1016" spans="1:26" ht="14.25" customHeight="1">
      <c r="A1016" s="419" t="s">
        <v>298</v>
      </c>
      <c r="B1016" s="441" t="s">
        <v>329</v>
      </c>
      <c r="C1016" s="566" t="s">
        <v>385</v>
      </c>
      <c r="D1016" s="472" t="s">
        <v>1654</v>
      </c>
      <c r="E1016" s="419">
        <v>199161</v>
      </c>
      <c r="F1016" s="419"/>
      <c r="G1016" s="419"/>
      <c r="H1016" s="419"/>
      <c r="I1016" s="419"/>
      <c r="J1016" s="419" t="s">
        <v>804</v>
      </c>
      <c r="K1016" s="419" t="s">
        <v>798</v>
      </c>
      <c r="L1016" s="419" t="s">
        <v>804</v>
      </c>
      <c r="M1016" s="419" t="s">
        <v>807</v>
      </c>
      <c r="N1016" s="419">
        <v>19.70627975</v>
      </c>
      <c r="O1016" s="419">
        <v>94.016433719999995</v>
      </c>
      <c r="P1016" s="419" t="s">
        <v>923</v>
      </c>
      <c r="Q1016" s="419" t="s">
        <v>780</v>
      </c>
      <c r="R1016" s="422"/>
      <c r="S1016" s="423"/>
      <c r="T1016" s="442" t="s">
        <v>805</v>
      </c>
      <c r="U1016" s="424"/>
      <c r="V1016" s="419" t="s">
        <v>385</v>
      </c>
      <c r="W1016" s="419"/>
      <c r="X1016" s="548"/>
      <c r="Y1016" s="542"/>
      <c r="Z1016" s="542"/>
    </row>
    <row r="1017" spans="1:26" ht="14.25" customHeight="1">
      <c r="A1017" s="419" t="s">
        <v>298</v>
      </c>
      <c r="B1017" s="441" t="s">
        <v>329</v>
      </c>
      <c r="C1017" s="566" t="s">
        <v>380</v>
      </c>
      <c r="D1017" s="472" t="s">
        <v>1654</v>
      </c>
      <c r="E1017" s="419">
        <v>199266</v>
      </c>
      <c r="F1017" s="419"/>
      <c r="G1017" s="419"/>
      <c r="H1017" s="419"/>
      <c r="I1017" s="419"/>
      <c r="J1017" s="419" t="s">
        <v>804</v>
      </c>
      <c r="K1017" s="419" t="s">
        <v>798</v>
      </c>
      <c r="L1017" s="419" t="s">
        <v>804</v>
      </c>
      <c r="M1017" s="419" t="s">
        <v>807</v>
      </c>
      <c r="N1017" s="419">
        <v>19.6192894</v>
      </c>
      <c r="O1017" s="419">
        <v>93.95968628</v>
      </c>
      <c r="P1017" s="419" t="s">
        <v>923</v>
      </c>
      <c r="Q1017" s="419" t="s">
        <v>780</v>
      </c>
      <c r="R1017" s="548"/>
      <c r="S1017" s="549"/>
      <c r="T1017" s="442" t="s">
        <v>805</v>
      </c>
      <c r="U1017" s="424"/>
      <c r="V1017" s="419" t="s">
        <v>380</v>
      </c>
      <c r="W1017" s="419"/>
      <c r="X1017" s="548"/>
      <c r="Y1017" s="542"/>
      <c r="Z1017" s="542"/>
    </row>
    <row r="1018" spans="1:26" ht="14.25" customHeight="1">
      <c r="A1018" s="419" t="s">
        <v>298</v>
      </c>
      <c r="B1018" s="441" t="s">
        <v>329</v>
      </c>
      <c r="C1018" s="566" t="s">
        <v>375</v>
      </c>
      <c r="D1018" s="472" t="s">
        <v>1654</v>
      </c>
      <c r="E1018" s="419">
        <v>199191</v>
      </c>
      <c r="F1018" s="419"/>
      <c r="G1018" s="419"/>
      <c r="H1018" s="419"/>
      <c r="I1018" s="419"/>
      <c r="J1018" s="419" t="s">
        <v>804</v>
      </c>
      <c r="K1018" s="542" t="s">
        <v>798</v>
      </c>
      <c r="L1018" s="542" t="s">
        <v>804</v>
      </c>
      <c r="M1018" s="419" t="s">
        <v>298</v>
      </c>
      <c r="N1018" s="419">
        <v>19.484790799999999</v>
      </c>
      <c r="O1018" s="419">
        <v>94.007926940000004</v>
      </c>
      <c r="P1018" s="419" t="s">
        <v>923</v>
      </c>
      <c r="Q1018" s="419" t="s">
        <v>780</v>
      </c>
      <c r="R1018" s="422"/>
      <c r="S1018" s="423"/>
      <c r="T1018" s="442" t="s">
        <v>805</v>
      </c>
      <c r="U1018" s="424"/>
      <c r="V1018" s="419" t="s">
        <v>375</v>
      </c>
      <c r="W1018" s="419"/>
      <c r="X1018" s="548"/>
      <c r="Y1018" s="542"/>
      <c r="Z1018" s="542"/>
    </row>
    <row r="1019" spans="1:26" ht="14.25" customHeight="1">
      <c r="A1019" s="419" t="s">
        <v>298</v>
      </c>
      <c r="B1019" s="441" t="s">
        <v>329</v>
      </c>
      <c r="C1019" s="566" t="s">
        <v>330</v>
      </c>
      <c r="D1019" s="472" t="s">
        <v>1654</v>
      </c>
      <c r="E1019" s="419"/>
      <c r="F1019" s="551"/>
      <c r="G1019" s="419"/>
      <c r="H1019" s="419"/>
      <c r="I1019" s="419"/>
      <c r="J1019" s="419" t="s">
        <v>804</v>
      </c>
      <c r="K1019" s="419" t="s">
        <v>798</v>
      </c>
      <c r="L1019" s="419" t="s">
        <v>804</v>
      </c>
      <c r="M1019" s="419" t="s">
        <v>811</v>
      </c>
      <c r="N1019" s="419"/>
      <c r="O1019" s="419"/>
      <c r="P1019" s="419" t="s">
        <v>923</v>
      </c>
      <c r="Q1019" s="419" t="s">
        <v>780</v>
      </c>
      <c r="R1019" s="422"/>
      <c r="S1019" s="423"/>
      <c r="T1019" s="442" t="s">
        <v>805</v>
      </c>
      <c r="U1019" s="424"/>
      <c r="V1019" s="419" t="s">
        <v>330</v>
      </c>
      <c r="W1019" s="419"/>
      <c r="X1019" s="548"/>
      <c r="Y1019" s="542"/>
      <c r="Z1019" s="542"/>
    </row>
    <row r="1020" spans="1:26" ht="14.25" customHeight="1">
      <c r="A1020" s="419" t="s">
        <v>298</v>
      </c>
      <c r="B1020" s="441" t="s">
        <v>329</v>
      </c>
      <c r="C1020" s="566" t="s">
        <v>398</v>
      </c>
      <c r="D1020" s="472" t="s">
        <v>1654</v>
      </c>
      <c r="E1020" s="419">
        <v>199250</v>
      </c>
      <c r="F1020" s="419"/>
      <c r="G1020" s="419"/>
      <c r="H1020" s="419"/>
      <c r="I1020" s="419"/>
      <c r="J1020" s="419" t="s">
        <v>804</v>
      </c>
      <c r="K1020" s="419" t="s">
        <v>798</v>
      </c>
      <c r="L1020" s="419" t="s">
        <v>804</v>
      </c>
      <c r="M1020" s="419" t="s">
        <v>298</v>
      </c>
      <c r="N1020" s="419">
        <v>19.989589689999999</v>
      </c>
      <c r="O1020" s="419">
        <v>93.823867800000002</v>
      </c>
      <c r="P1020" s="419" t="s">
        <v>923</v>
      </c>
      <c r="Q1020" s="419" t="s">
        <v>780</v>
      </c>
      <c r="R1020" s="422"/>
      <c r="S1020" s="423"/>
      <c r="T1020" s="442" t="s">
        <v>805</v>
      </c>
      <c r="U1020" s="424"/>
      <c r="V1020" s="419" t="s">
        <v>814</v>
      </c>
      <c r="W1020" s="419"/>
      <c r="X1020" s="548"/>
      <c r="Y1020" s="542"/>
      <c r="Z1020" s="542"/>
    </row>
    <row r="1021" spans="1:26" ht="14.25" customHeight="1">
      <c r="A1021" s="419" t="s">
        <v>298</v>
      </c>
      <c r="B1021" s="441" t="s">
        <v>329</v>
      </c>
      <c r="C1021" s="566" t="s">
        <v>387</v>
      </c>
      <c r="D1021" s="472" t="s">
        <v>1654</v>
      </c>
      <c r="E1021" s="419">
        <v>199158</v>
      </c>
      <c r="F1021" s="419"/>
      <c r="G1021" s="419"/>
      <c r="H1021" s="419"/>
      <c r="I1021" s="419"/>
      <c r="J1021" s="419" t="s">
        <v>804</v>
      </c>
      <c r="K1021" s="419" t="s">
        <v>798</v>
      </c>
      <c r="L1021" s="419" t="s">
        <v>804</v>
      </c>
      <c r="M1021" s="419" t="s">
        <v>298</v>
      </c>
      <c r="N1021" s="419">
        <v>19.725629810000001</v>
      </c>
      <c r="O1021" s="419">
        <v>94.03105927</v>
      </c>
      <c r="P1021" s="419" t="s">
        <v>923</v>
      </c>
      <c r="Q1021" s="419" t="s">
        <v>780</v>
      </c>
      <c r="R1021" s="422"/>
      <c r="S1021" s="423"/>
      <c r="T1021" s="442" t="s">
        <v>805</v>
      </c>
      <c r="U1021" s="424"/>
      <c r="V1021" s="419" t="s">
        <v>808</v>
      </c>
      <c r="W1021" s="419"/>
      <c r="X1021" s="548"/>
      <c r="Y1021" s="542"/>
      <c r="Z1021" s="542"/>
    </row>
    <row r="1022" spans="1:26" ht="14.25" customHeight="1">
      <c r="A1022" s="419" t="s">
        <v>298</v>
      </c>
      <c r="B1022" s="441" t="s">
        <v>329</v>
      </c>
      <c r="C1022" s="566" t="s">
        <v>376</v>
      </c>
      <c r="D1022" s="472" t="s">
        <v>1654</v>
      </c>
      <c r="E1022" s="419">
        <v>199195</v>
      </c>
      <c r="F1022" s="419"/>
      <c r="G1022" s="419"/>
      <c r="H1022" s="419"/>
      <c r="I1022" s="419"/>
      <c r="J1022" s="419" t="s">
        <v>804</v>
      </c>
      <c r="K1022" s="419" t="s">
        <v>798</v>
      </c>
      <c r="L1022" s="419" t="s">
        <v>804</v>
      </c>
      <c r="M1022" s="419" t="s">
        <v>298</v>
      </c>
      <c r="N1022" s="419">
        <v>19.591590879999998</v>
      </c>
      <c r="O1022" s="419">
        <v>93.80825806</v>
      </c>
      <c r="P1022" s="419" t="s">
        <v>923</v>
      </c>
      <c r="Q1022" s="419" t="s">
        <v>780</v>
      </c>
      <c r="R1022" s="422"/>
      <c r="S1022" s="423"/>
      <c r="T1022" s="442">
        <v>42745</v>
      </c>
      <c r="U1022" s="424"/>
      <c r="V1022" s="419"/>
      <c r="W1022" s="419"/>
      <c r="X1022" s="548"/>
      <c r="Y1022" s="542"/>
      <c r="Z1022" s="542"/>
    </row>
    <row r="1023" spans="1:26" ht="14.25" customHeight="1">
      <c r="A1023" s="419" t="s">
        <v>298</v>
      </c>
      <c r="B1023" s="441" t="s">
        <v>329</v>
      </c>
      <c r="C1023" s="566" t="s">
        <v>382</v>
      </c>
      <c r="D1023" s="472" t="s">
        <v>1654</v>
      </c>
      <c r="E1023" s="542">
        <v>199223</v>
      </c>
      <c r="F1023" s="419"/>
      <c r="G1023" s="419"/>
      <c r="H1023" s="419"/>
      <c r="I1023" s="419"/>
      <c r="J1023" s="419" t="s">
        <v>804</v>
      </c>
      <c r="K1023" s="419" t="s">
        <v>798</v>
      </c>
      <c r="L1023" s="419" t="s">
        <v>804</v>
      </c>
      <c r="M1023" s="419" t="s">
        <v>807</v>
      </c>
      <c r="N1023" s="419">
        <v>19.639009479999999</v>
      </c>
      <c r="O1023" s="419">
        <v>94.036079409999999</v>
      </c>
      <c r="P1023" s="419" t="s">
        <v>923</v>
      </c>
      <c r="Q1023" s="419" t="s">
        <v>780</v>
      </c>
      <c r="R1023" s="422"/>
      <c r="S1023" s="423"/>
      <c r="T1023" s="442" t="s">
        <v>805</v>
      </c>
      <c r="U1023" s="424"/>
      <c r="V1023" s="419" t="s">
        <v>382</v>
      </c>
      <c r="W1023" s="419"/>
      <c r="X1023" s="548"/>
      <c r="Y1023" s="542"/>
      <c r="Z1023" s="542"/>
    </row>
    <row r="1024" spans="1:26" ht="14.25" customHeight="1">
      <c r="A1024" s="419" t="s">
        <v>298</v>
      </c>
      <c r="B1024" s="441" t="s">
        <v>329</v>
      </c>
      <c r="C1024" s="441" t="s">
        <v>389</v>
      </c>
      <c r="D1024" s="472" t="s">
        <v>1654</v>
      </c>
      <c r="E1024" s="419">
        <v>199160</v>
      </c>
      <c r="F1024" s="419"/>
      <c r="G1024" s="419"/>
      <c r="H1024" s="419"/>
      <c r="I1024" s="419"/>
      <c r="J1024" s="419" t="s">
        <v>804</v>
      </c>
      <c r="K1024" s="419" t="s">
        <v>798</v>
      </c>
      <c r="L1024" s="419" t="s">
        <v>804</v>
      </c>
      <c r="M1024" s="419" t="s">
        <v>298</v>
      </c>
      <c r="N1024" s="419">
        <v>19.738719939999999</v>
      </c>
      <c r="O1024" s="419">
        <v>94.03549194</v>
      </c>
      <c r="P1024" s="419" t="s">
        <v>923</v>
      </c>
      <c r="Q1024" s="419" t="s">
        <v>780</v>
      </c>
      <c r="R1024" s="422"/>
      <c r="S1024" s="423"/>
      <c r="T1024" s="442" t="s">
        <v>805</v>
      </c>
      <c r="U1024" s="424"/>
      <c r="V1024" s="419" t="s">
        <v>389</v>
      </c>
      <c r="W1024" s="419"/>
      <c r="X1024" s="548"/>
      <c r="Y1024" s="542"/>
      <c r="Z1024" s="542"/>
    </row>
    <row r="1025" spans="1:26" ht="14.25" customHeight="1">
      <c r="A1025" s="419" t="s">
        <v>298</v>
      </c>
      <c r="B1025" s="441" t="s">
        <v>329</v>
      </c>
      <c r="C1025" s="441" t="s">
        <v>383</v>
      </c>
      <c r="D1025" s="472" t="s">
        <v>1654</v>
      </c>
      <c r="E1025" s="419">
        <v>199218</v>
      </c>
      <c r="F1025" s="419"/>
      <c r="G1025" s="419"/>
      <c r="H1025" s="419"/>
      <c r="I1025" s="419"/>
      <c r="J1025" s="419" t="s">
        <v>804</v>
      </c>
      <c r="K1025" s="419" t="s">
        <v>798</v>
      </c>
      <c r="L1025" s="419" t="s">
        <v>804</v>
      </c>
      <c r="M1025" s="419" t="s">
        <v>298</v>
      </c>
      <c r="N1025" s="419">
        <v>19.646549220000001</v>
      </c>
      <c r="O1025" s="419">
        <v>94.004188540000001</v>
      </c>
      <c r="P1025" s="419" t="s">
        <v>923</v>
      </c>
      <c r="Q1025" s="419" t="s">
        <v>780</v>
      </c>
      <c r="R1025" s="552"/>
      <c r="S1025" s="553"/>
      <c r="T1025" s="442" t="s">
        <v>805</v>
      </c>
      <c r="U1025" s="424"/>
      <c r="V1025" s="542" t="s">
        <v>383</v>
      </c>
      <c r="W1025" s="419"/>
      <c r="X1025" s="548"/>
      <c r="Y1025" s="542"/>
      <c r="Z1025" s="542"/>
    </row>
    <row r="1026" spans="1:26" ht="14.25" customHeight="1">
      <c r="A1026" s="419" t="s">
        <v>298</v>
      </c>
      <c r="B1026" s="441" t="s">
        <v>329</v>
      </c>
      <c r="C1026" s="441" t="s">
        <v>399</v>
      </c>
      <c r="D1026" s="472" t="s">
        <v>1654</v>
      </c>
      <c r="E1026" s="419">
        <v>199248</v>
      </c>
      <c r="F1026" s="419"/>
      <c r="G1026" s="419"/>
      <c r="H1026" s="419"/>
      <c r="I1026" s="419"/>
      <c r="J1026" s="419" t="s">
        <v>804</v>
      </c>
      <c r="K1026" s="546" t="s">
        <v>798</v>
      </c>
      <c r="L1026" s="546" t="s">
        <v>804</v>
      </c>
      <c r="M1026" s="419" t="s">
        <v>807</v>
      </c>
      <c r="N1026" s="542">
        <v>19.991359710000001</v>
      </c>
      <c r="O1026" s="542">
        <v>93.834663390000003</v>
      </c>
      <c r="P1026" s="419" t="s">
        <v>923</v>
      </c>
      <c r="Q1026" s="419" t="s">
        <v>780</v>
      </c>
      <c r="R1026" s="422"/>
      <c r="S1026" s="423"/>
      <c r="T1026" s="442" t="s">
        <v>805</v>
      </c>
      <c r="U1026" s="424"/>
      <c r="V1026" s="419" t="s">
        <v>399</v>
      </c>
      <c r="W1026" s="419"/>
      <c r="X1026" s="548"/>
      <c r="Y1026" s="542"/>
      <c r="Z1026" s="542"/>
    </row>
    <row r="1027" spans="1:26" ht="14.25" customHeight="1">
      <c r="A1027" s="419" t="s">
        <v>298</v>
      </c>
      <c r="B1027" s="441" t="s">
        <v>329</v>
      </c>
      <c r="C1027" s="441" t="s">
        <v>390</v>
      </c>
      <c r="D1027" s="472" t="s">
        <v>1654</v>
      </c>
      <c r="E1027" s="419">
        <v>199137</v>
      </c>
      <c r="F1027" s="546"/>
      <c r="G1027" s="419"/>
      <c r="H1027" s="419"/>
      <c r="I1027" s="419"/>
      <c r="J1027" s="419" t="s">
        <v>804</v>
      </c>
      <c r="K1027" s="419" t="s">
        <v>798</v>
      </c>
      <c r="L1027" s="419" t="s">
        <v>804</v>
      </c>
      <c r="M1027" s="419" t="s">
        <v>298</v>
      </c>
      <c r="N1027" s="419">
        <v>19.904430390000002</v>
      </c>
      <c r="O1027" s="419">
        <v>93.79277802</v>
      </c>
      <c r="P1027" s="419" t="s">
        <v>923</v>
      </c>
      <c r="Q1027" s="419" t="s">
        <v>780</v>
      </c>
      <c r="R1027" s="422"/>
      <c r="S1027" s="423"/>
      <c r="T1027" s="442" t="s">
        <v>805</v>
      </c>
      <c r="U1027" s="424"/>
      <c r="V1027" s="419" t="s">
        <v>390</v>
      </c>
      <c r="W1027" s="419"/>
      <c r="X1027" s="548"/>
      <c r="Y1027" s="542"/>
      <c r="Z1027" s="542"/>
    </row>
    <row r="1028" spans="1:26" ht="14.25" customHeight="1">
      <c r="A1028" s="542" t="s">
        <v>298</v>
      </c>
      <c r="B1028" s="566" t="s">
        <v>329</v>
      </c>
      <c r="C1028" s="566" t="s">
        <v>392</v>
      </c>
      <c r="D1028" s="472" t="s">
        <v>1654</v>
      </c>
      <c r="E1028" s="419">
        <v>199135</v>
      </c>
      <c r="F1028" s="419"/>
      <c r="G1028" s="419"/>
      <c r="H1028" s="419"/>
      <c r="I1028" s="419"/>
      <c r="J1028" s="419" t="s">
        <v>804</v>
      </c>
      <c r="K1028" s="419" t="s">
        <v>798</v>
      </c>
      <c r="L1028" s="419" t="s">
        <v>804</v>
      </c>
      <c r="M1028" s="419" t="s">
        <v>807</v>
      </c>
      <c r="N1028" s="419">
        <v>19.930080409999999</v>
      </c>
      <c r="O1028" s="419">
        <v>93.787002560000005</v>
      </c>
      <c r="P1028" s="419" t="s">
        <v>923</v>
      </c>
      <c r="Q1028" s="419" t="s">
        <v>780</v>
      </c>
      <c r="R1028" s="422"/>
      <c r="S1028" s="549"/>
      <c r="T1028" s="442" t="s">
        <v>805</v>
      </c>
      <c r="U1028" s="424"/>
      <c r="V1028" s="419" t="s">
        <v>392</v>
      </c>
      <c r="W1028" s="542"/>
      <c r="X1028" s="548"/>
      <c r="Y1028" s="542"/>
      <c r="Z1028" s="542"/>
    </row>
    <row r="1029" spans="1:26" ht="14.25" customHeight="1">
      <c r="A1029" s="542" t="s">
        <v>298</v>
      </c>
      <c r="B1029" s="566" t="s">
        <v>329</v>
      </c>
      <c r="C1029" s="566" t="s">
        <v>378</v>
      </c>
      <c r="D1029" s="472" t="s">
        <v>1654</v>
      </c>
      <c r="E1029" s="419">
        <v>199261</v>
      </c>
      <c r="F1029" s="419"/>
      <c r="G1029" s="419"/>
      <c r="H1029" s="419"/>
      <c r="I1029" s="419"/>
      <c r="J1029" s="419" t="s">
        <v>804</v>
      </c>
      <c r="K1029" s="419" t="s">
        <v>798</v>
      </c>
      <c r="L1029" s="419" t="s">
        <v>804</v>
      </c>
      <c r="M1029" s="419" t="s">
        <v>298</v>
      </c>
      <c r="N1029" s="419">
        <v>19.61120987</v>
      </c>
      <c r="O1029" s="419">
        <v>93.995933530000002</v>
      </c>
      <c r="P1029" s="419" t="s">
        <v>923</v>
      </c>
      <c r="Q1029" s="419" t="s">
        <v>780</v>
      </c>
      <c r="R1029" s="548"/>
      <c r="S1029" s="423"/>
      <c r="T1029" s="442" t="s">
        <v>805</v>
      </c>
      <c r="U1029" s="424"/>
      <c r="V1029" s="419" t="s">
        <v>806</v>
      </c>
      <c r="W1029" s="542"/>
      <c r="X1029" s="548"/>
      <c r="Y1029" s="542"/>
      <c r="Z1029" s="542"/>
    </row>
    <row r="1030" spans="1:26" ht="14.25" customHeight="1">
      <c r="A1030" s="566" t="s">
        <v>298</v>
      </c>
      <c r="B1030" s="566" t="s">
        <v>329</v>
      </c>
      <c r="C1030" s="566" t="s">
        <v>384</v>
      </c>
      <c r="D1030" s="472" t="s">
        <v>1654</v>
      </c>
      <c r="E1030" s="419">
        <v>199156</v>
      </c>
      <c r="F1030" s="419"/>
      <c r="G1030" s="419"/>
      <c r="H1030" s="419"/>
      <c r="I1030" s="419"/>
      <c r="J1030" s="419" t="s">
        <v>804</v>
      </c>
      <c r="K1030" s="419" t="s">
        <v>798</v>
      </c>
      <c r="L1030" s="419" t="s">
        <v>804</v>
      </c>
      <c r="M1030" s="419" t="s">
        <v>807</v>
      </c>
      <c r="N1030" s="419">
        <v>19.686580660000001</v>
      </c>
      <c r="O1030" s="419">
        <v>94.048843379999994</v>
      </c>
      <c r="P1030" s="419" t="s">
        <v>923</v>
      </c>
      <c r="Q1030" s="419" t="s">
        <v>780</v>
      </c>
      <c r="R1030" s="548"/>
      <c r="S1030" s="423"/>
      <c r="T1030" s="442" t="s">
        <v>805</v>
      </c>
      <c r="U1030" s="424"/>
      <c r="V1030" s="419" t="s">
        <v>384</v>
      </c>
      <c r="W1030" s="542"/>
      <c r="X1030" s="550"/>
      <c r="Y1030" s="542"/>
      <c r="Z1030" s="548"/>
    </row>
    <row r="1031" spans="1:26" ht="14.25" customHeight="1">
      <c r="A1031" s="566" t="s">
        <v>298</v>
      </c>
      <c r="B1031" s="566" t="s">
        <v>329</v>
      </c>
      <c r="C1031" s="566" t="s">
        <v>381</v>
      </c>
      <c r="D1031" s="472" t="s">
        <v>1654</v>
      </c>
      <c r="E1031" s="546">
        <v>199265</v>
      </c>
      <c r="F1031" s="419"/>
      <c r="G1031" s="419"/>
      <c r="H1031" s="419"/>
      <c r="I1031" s="419"/>
      <c r="J1031" s="419" t="s">
        <v>804</v>
      </c>
      <c r="K1031" s="419" t="s">
        <v>798</v>
      </c>
      <c r="L1031" s="419" t="s">
        <v>804</v>
      </c>
      <c r="M1031" s="419" t="s">
        <v>298</v>
      </c>
      <c r="N1031" s="419">
        <v>19.627199170000001</v>
      </c>
      <c r="O1031" s="419">
        <v>93.962989809999996</v>
      </c>
      <c r="P1031" s="419" t="s">
        <v>923</v>
      </c>
      <c r="Q1031" s="419" t="s">
        <v>780</v>
      </c>
      <c r="R1031" s="548"/>
      <c r="S1031" s="423"/>
      <c r="T1031" s="442" t="s">
        <v>805</v>
      </c>
      <c r="U1031" s="424"/>
      <c r="V1031" s="419" t="s">
        <v>381</v>
      </c>
      <c r="W1031" s="542"/>
      <c r="X1031" s="550"/>
      <c r="Y1031" s="542"/>
      <c r="Z1031" s="548"/>
    </row>
    <row r="1032" spans="1:26" ht="14.25" customHeight="1">
      <c r="A1032" s="566" t="s">
        <v>298</v>
      </c>
      <c r="B1032" s="566" t="s">
        <v>329</v>
      </c>
      <c r="C1032" s="566" t="s">
        <v>379</v>
      </c>
      <c r="D1032" s="472" t="s">
        <v>1654</v>
      </c>
      <c r="E1032" s="419">
        <v>199262</v>
      </c>
      <c r="F1032" s="419"/>
      <c r="G1032" s="419"/>
      <c r="H1032" s="419"/>
      <c r="I1032" s="542"/>
      <c r="J1032" s="419" t="s">
        <v>804</v>
      </c>
      <c r="K1032" s="419" t="s">
        <v>798</v>
      </c>
      <c r="L1032" s="419" t="s">
        <v>804</v>
      </c>
      <c r="M1032" s="419" t="s">
        <v>298</v>
      </c>
      <c r="N1032" s="419">
        <v>19.61580086</v>
      </c>
      <c r="O1032" s="419">
        <v>94.000473020000001</v>
      </c>
      <c r="P1032" s="419" t="s">
        <v>923</v>
      </c>
      <c r="Q1032" s="419" t="s">
        <v>780</v>
      </c>
      <c r="R1032" s="422"/>
      <c r="S1032" s="549"/>
      <c r="T1032" s="442" t="s">
        <v>805</v>
      </c>
      <c r="U1032" s="424"/>
      <c r="V1032" s="419" t="s">
        <v>379</v>
      </c>
      <c r="W1032" s="542"/>
      <c r="X1032" s="550"/>
      <c r="Y1032" s="542"/>
      <c r="Z1032" s="548"/>
    </row>
    <row r="1033" spans="1:26" ht="14.25" customHeight="1">
      <c r="A1033" s="566" t="s">
        <v>298</v>
      </c>
      <c r="B1033" s="566" t="s">
        <v>329</v>
      </c>
      <c r="C1033" s="566" t="s">
        <v>396</v>
      </c>
      <c r="D1033" s="472" t="s">
        <v>1654</v>
      </c>
      <c r="E1033" s="419">
        <v>199241</v>
      </c>
      <c r="F1033" s="419"/>
      <c r="G1033" s="419"/>
      <c r="H1033" s="419"/>
      <c r="I1033" s="419"/>
      <c r="J1033" s="419" t="s">
        <v>804</v>
      </c>
      <c r="K1033" s="419" t="s">
        <v>798</v>
      </c>
      <c r="L1033" s="419" t="s">
        <v>804</v>
      </c>
      <c r="M1033" s="419" t="s">
        <v>807</v>
      </c>
      <c r="N1033" s="419">
        <v>19.988599780000001</v>
      </c>
      <c r="O1033" s="419">
        <v>93.803939819999997</v>
      </c>
      <c r="P1033" s="419" t="s">
        <v>923</v>
      </c>
      <c r="Q1033" s="419" t="s">
        <v>780</v>
      </c>
      <c r="R1033" s="548"/>
      <c r="S1033" s="423"/>
      <c r="T1033" s="442" t="s">
        <v>805</v>
      </c>
      <c r="U1033" s="424"/>
      <c r="V1033" s="413" t="s">
        <v>813</v>
      </c>
      <c r="W1033" s="542"/>
      <c r="X1033" s="550"/>
      <c r="Y1033" s="542"/>
      <c r="Z1033" s="548"/>
    </row>
    <row r="1034" spans="1:26" ht="14.25" customHeight="1">
      <c r="A1034" s="566" t="s">
        <v>298</v>
      </c>
      <c r="B1034" s="566" t="s">
        <v>329</v>
      </c>
      <c r="C1034" s="566" t="s">
        <v>394</v>
      </c>
      <c r="D1034" s="472" t="s">
        <v>1654</v>
      </c>
      <c r="E1034" s="419">
        <v>220838</v>
      </c>
      <c r="F1034" s="419"/>
      <c r="G1034" s="419"/>
      <c r="H1034" s="419"/>
      <c r="I1034" s="419"/>
      <c r="J1034" s="419" t="s">
        <v>804</v>
      </c>
      <c r="K1034" s="419" t="s">
        <v>798</v>
      </c>
      <c r="L1034" s="419" t="s">
        <v>804</v>
      </c>
      <c r="M1034" s="419" t="s">
        <v>807</v>
      </c>
      <c r="N1034" s="560">
        <v>19.962713239999999</v>
      </c>
      <c r="O1034" s="560">
        <v>93.885574340000005</v>
      </c>
      <c r="P1034" s="419" t="s">
        <v>923</v>
      </c>
      <c r="Q1034" s="419" t="s">
        <v>780</v>
      </c>
      <c r="R1034" s="548"/>
      <c r="S1034" s="423"/>
      <c r="T1034" s="442" t="s">
        <v>805</v>
      </c>
      <c r="U1034" s="424"/>
      <c r="V1034" s="419" t="s">
        <v>394</v>
      </c>
      <c r="W1034" s="542"/>
      <c r="X1034" s="550"/>
      <c r="Y1034" s="542"/>
      <c r="Z1034" s="548"/>
    </row>
    <row r="1035" spans="1:26" ht="14.25" customHeight="1">
      <c r="A1035" s="566" t="s">
        <v>298</v>
      </c>
      <c r="B1035" s="566" t="s">
        <v>329</v>
      </c>
      <c r="C1035" s="566" t="s">
        <v>391</v>
      </c>
      <c r="D1035" s="472" t="s">
        <v>1654</v>
      </c>
      <c r="E1035" s="419">
        <v>199133</v>
      </c>
      <c r="F1035" s="419"/>
      <c r="G1035" s="419"/>
      <c r="H1035" s="419"/>
      <c r="I1035" s="542"/>
      <c r="J1035" s="419" t="s">
        <v>804</v>
      </c>
      <c r="K1035" s="419" t="s">
        <v>798</v>
      </c>
      <c r="L1035" s="419" t="s">
        <v>804</v>
      </c>
      <c r="M1035" s="419" t="s">
        <v>298</v>
      </c>
      <c r="N1035" s="419">
        <v>19.925739289999999</v>
      </c>
      <c r="O1035" s="419">
        <v>93.792991639999997</v>
      </c>
      <c r="P1035" s="419" t="s">
        <v>923</v>
      </c>
      <c r="Q1035" s="419" t="s">
        <v>780</v>
      </c>
      <c r="R1035" s="422"/>
      <c r="S1035" s="549"/>
      <c r="T1035" s="442" t="s">
        <v>805</v>
      </c>
      <c r="U1035" s="424"/>
      <c r="V1035" s="419" t="s">
        <v>809</v>
      </c>
      <c r="W1035" s="542"/>
      <c r="X1035" s="550"/>
      <c r="Y1035" s="542"/>
      <c r="Z1035" s="548"/>
    </row>
    <row r="1036" spans="1:26" ht="14.25" customHeight="1">
      <c r="A1036" s="491" t="s">
        <v>702</v>
      </c>
      <c r="B1036" s="446" t="s">
        <v>721</v>
      </c>
      <c r="C1036" s="491" t="s">
        <v>722</v>
      </c>
      <c r="D1036" s="472" t="s">
        <v>2897</v>
      </c>
      <c r="E1036" s="419" t="s">
        <v>1414</v>
      </c>
      <c r="F1036" s="419" t="s">
        <v>722</v>
      </c>
      <c r="G1036" s="419" t="s">
        <v>722</v>
      </c>
      <c r="H1036" s="419" t="s">
        <v>42</v>
      </c>
      <c r="I1036" s="419" t="s">
        <v>2727</v>
      </c>
      <c r="J1036" s="419" t="s">
        <v>44</v>
      </c>
      <c r="K1036" s="419" t="s">
        <v>44</v>
      </c>
      <c r="L1036" s="419" t="s">
        <v>44</v>
      </c>
      <c r="M1036" s="419" t="s">
        <v>45</v>
      </c>
      <c r="N1036" s="419">
        <v>23.354268999999999</v>
      </c>
      <c r="O1036" s="419">
        <v>98.218626999999998</v>
      </c>
      <c r="P1036" s="419" t="s">
        <v>761</v>
      </c>
      <c r="Q1036" s="419" t="s">
        <v>780</v>
      </c>
      <c r="R1036" s="422">
        <v>35</v>
      </c>
      <c r="S1036" s="422">
        <v>183</v>
      </c>
      <c r="T1036" s="442"/>
      <c r="U1036" s="424"/>
      <c r="V1036" s="419" t="s">
        <v>722</v>
      </c>
      <c r="W1036" s="414" t="s">
        <v>2193</v>
      </c>
      <c r="X1036" s="550"/>
      <c r="Y1036" s="542"/>
      <c r="Z1036" s="548"/>
    </row>
    <row r="1037" spans="1:26" ht="14.25" customHeight="1">
      <c r="A1037" s="491" t="s">
        <v>702</v>
      </c>
      <c r="B1037" s="446" t="s">
        <v>721</v>
      </c>
      <c r="C1037" s="491" t="s">
        <v>745</v>
      </c>
      <c r="D1037" s="421" t="s">
        <v>1732</v>
      </c>
      <c r="E1037" s="419" t="s">
        <v>1415</v>
      </c>
      <c r="F1037" s="419" t="s">
        <v>1759</v>
      </c>
      <c r="G1037" s="419" t="s">
        <v>1759</v>
      </c>
      <c r="H1037" s="419"/>
      <c r="I1037" s="419" t="s">
        <v>2142</v>
      </c>
      <c r="J1037" s="419" t="s">
        <v>44</v>
      </c>
      <c r="K1037" s="419" t="s">
        <v>968</v>
      </c>
      <c r="L1037" s="419" t="s">
        <v>760</v>
      </c>
      <c r="M1037" s="419" t="s">
        <v>778</v>
      </c>
      <c r="N1037" s="419">
        <v>23.372409999999999</v>
      </c>
      <c r="O1037" s="419">
        <v>98.352670000000003</v>
      </c>
      <c r="P1037" s="419" t="s">
        <v>773</v>
      </c>
      <c r="Q1037" s="419" t="s">
        <v>780</v>
      </c>
      <c r="R1037" s="430"/>
      <c r="S1037" s="423"/>
      <c r="T1037" s="442">
        <v>43276</v>
      </c>
      <c r="U1037" s="424" t="s">
        <v>1985</v>
      </c>
      <c r="V1037" s="419" t="s">
        <v>745</v>
      </c>
      <c r="W1037" s="414" t="s">
        <v>2194</v>
      </c>
      <c r="X1037" s="550"/>
      <c r="Y1037" s="542"/>
      <c r="Z1037" s="548"/>
    </row>
    <row r="1038" spans="1:26" ht="14.25" customHeight="1">
      <c r="A1038" s="491" t="s">
        <v>702</v>
      </c>
      <c r="B1038" s="446" t="s">
        <v>721</v>
      </c>
      <c r="C1038" s="491" t="s">
        <v>751</v>
      </c>
      <c r="D1038" s="421" t="s">
        <v>1655</v>
      </c>
      <c r="E1038" s="419" t="s">
        <v>1413</v>
      </c>
      <c r="F1038" s="419" t="s">
        <v>1666</v>
      </c>
      <c r="G1038" s="419" t="s">
        <v>1666</v>
      </c>
      <c r="H1038" s="419"/>
      <c r="I1038" s="419">
        <v>0</v>
      </c>
      <c r="J1038" s="419" t="s">
        <v>44</v>
      </c>
      <c r="K1038" s="419" t="s">
        <v>44</v>
      </c>
      <c r="L1038" s="419" t="s">
        <v>760</v>
      </c>
      <c r="M1038" s="419" t="s">
        <v>45</v>
      </c>
      <c r="N1038" s="419">
        <v>23.353999999999999</v>
      </c>
      <c r="O1038" s="419">
        <v>98.221000000000004</v>
      </c>
      <c r="P1038" s="419" t="s">
        <v>761</v>
      </c>
      <c r="Q1038" s="419" t="s">
        <v>762</v>
      </c>
      <c r="R1038" s="430"/>
      <c r="S1038" s="423"/>
      <c r="T1038" s="442"/>
      <c r="U1038" s="424"/>
      <c r="V1038" s="419"/>
      <c r="W1038" s="414" t="s">
        <v>2195</v>
      </c>
      <c r="X1038" s="550"/>
      <c r="Y1038" s="542"/>
      <c r="Z1038" s="548"/>
    </row>
    <row r="1039" spans="1:26" ht="14.25" customHeight="1">
      <c r="A1039" s="491" t="s">
        <v>702</v>
      </c>
      <c r="B1039" s="446" t="s">
        <v>743</v>
      </c>
      <c r="C1039" s="491" t="s">
        <v>2697</v>
      </c>
      <c r="D1039" s="547"/>
      <c r="E1039" s="419"/>
      <c r="F1039" s="419"/>
      <c r="G1039" s="419"/>
      <c r="H1039" s="419"/>
      <c r="I1039" s="419"/>
      <c r="J1039" s="419" t="s">
        <v>2715</v>
      </c>
      <c r="K1039" s="419" t="s">
        <v>2677</v>
      </c>
      <c r="L1039" s="419" t="s">
        <v>2677</v>
      </c>
      <c r="M1039" s="419" t="s">
        <v>45</v>
      </c>
      <c r="N1039" s="419"/>
      <c r="O1039" s="419"/>
      <c r="P1039" s="419" t="s">
        <v>1993</v>
      </c>
      <c r="Q1039" s="419"/>
      <c r="R1039" s="556"/>
      <c r="S1039" s="549"/>
      <c r="T1039" s="442">
        <v>43567</v>
      </c>
      <c r="U1039" s="424"/>
      <c r="V1039" s="419"/>
      <c r="W1039" s="548"/>
      <c r="X1039" s="550"/>
      <c r="Y1039" s="542"/>
      <c r="Z1039" s="548"/>
    </row>
    <row r="1040" spans="1:26" ht="14.25" customHeight="1">
      <c r="A1040" s="491" t="s">
        <v>702</v>
      </c>
      <c r="B1040" s="446" t="s">
        <v>743</v>
      </c>
      <c r="C1040" s="491" t="s">
        <v>744</v>
      </c>
      <c r="D1040" s="472" t="s">
        <v>2897</v>
      </c>
      <c r="E1040" s="419" t="s">
        <v>1405</v>
      </c>
      <c r="F1040" s="419" t="s">
        <v>1755</v>
      </c>
      <c r="G1040" s="419" t="s">
        <v>1756</v>
      </c>
      <c r="H1040" s="419"/>
      <c r="I1040" s="546" t="s">
        <v>2142</v>
      </c>
      <c r="J1040" s="419" t="s">
        <v>44</v>
      </c>
      <c r="K1040" s="419" t="s">
        <v>44</v>
      </c>
      <c r="L1040" s="419" t="s">
        <v>776</v>
      </c>
      <c r="M1040" s="419" t="s">
        <v>45</v>
      </c>
      <c r="N1040" s="419">
        <v>22.677008000000001</v>
      </c>
      <c r="O1040" s="419">
        <v>97.314762999999999</v>
      </c>
      <c r="P1040" s="419" t="s">
        <v>761</v>
      </c>
      <c r="Q1040" s="419" t="s">
        <v>762</v>
      </c>
      <c r="R1040" s="422">
        <v>37</v>
      </c>
      <c r="S1040" s="422">
        <v>120</v>
      </c>
      <c r="T1040" s="442"/>
      <c r="U1040" s="424" t="s">
        <v>962</v>
      </c>
      <c r="V1040" s="419" t="s">
        <v>963</v>
      </c>
      <c r="W1040" s="414" t="s">
        <v>2196</v>
      </c>
      <c r="X1040" s="550"/>
      <c r="Y1040" s="542"/>
      <c r="Z1040" s="548"/>
    </row>
    <row r="1041" spans="1:26" ht="14.25" customHeight="1">
      <c r="A1041" s="491" t="s">
        <v>702</v>
      </c>
      <c r="B1041" s="446" t="s">
        <v>743</v>
      </c>
      <c r="C1041" s="491" t="s">
        <v>2698</v>
      </c>
      <c r="D1041" s="547"/>
      <c r="E1041" s="419"/>
      <c r="F1041" s="419"/>
      <c r="G1041" s="419"/>
      <c r="H1041" s="419"/>
      <c r="I1041" s="419"/>
      <c r="J1041" s="419" t="s">
        <v>2715</v>
      </c>
      <c r="K1041" s="419" t="s">
        <v>2677</v>
      </c>
      <c r="L1041" s="419" t="s">
        <v>2677</v>
      </c>
      <c r="M1041" s="419" t="s">
        <v>45</v>
      </c>
      <c r="N1041" s="419"/>
      <c r="O1041" s="419"/>
      <c r="P1041" s="419" t="s">
        <v>1993</v>
      </c>
      <c r="Q1041" s="419"/>
      <c r="R1041" s="556"/>
      <c r="S1041" s="549"/>
      <c r="T1041" s="442">
        <v>43567</v>
      </c>
      <c r="U1041" s="424"/>
      <c r="V1041" s="419"/>
      <c r="W1041" s="548"/>
      <c r="X1041" s="550"/>
      <c r="Y1041" s="542"/>
      <c r="Z1041" s="548"/>
    </row>
    <row r="1042" spans="1:26" ht="14.25" customHeight="1">
      <c r="A1042" s="491" t="s">
        <v>702</v>
      </c>
      <c r="B1042" s="446" t="s">
        <v>743</v>
      </c>
      <c r="C1042" s="491" t="s">
        <v>2699</v>
      </c>
      <c r="D1042" s="421"/>
      <c r="E1042" s="419"/>
      <c r="F1042" s="419"/>
      <c r="G1042" s="419"/>
      <c r="H1042" s="419"/>
      <c r="I1042" s="419"/>
      <c r="J1042" s="419" t="s">
        <v>2715</v>
      </c>
      <c r="K1042" s="419" t="s">
        <v>2677</v>
      </c>
      <c r="L1042" s="419" t="s">
        <v>2677</v>
      </c>
      <c r="M1042" s="419" t="s">
        <v>45</v>
      </c>
      <c r="N1042" s="419"/>
      <c r="O1042" s="419"/>
      <c r="P1042" s="419" t="s">
        <v>1993</v>
      </c>
      <c r="Q1042" s="419"/>
      <c r="R1042" s="430"/>
      <c r="S1042" s="423"/>
      <c r="T1042" s="442">
        <v>43567</v>
      </c>
      <c r="U1042" s="424"/>
      <c r="V1042" s="419"/>
      <c r="W1042" s="422"/>
      <c r="X1042" s="550"/>
      <c r="Y1042" s="542"/>
      <c r="Z1042" s="548"/>
    </row>
    <row r="1043" spans="1:26" ht="14.25" customHeight="1">
      <c r="A1043" s="491" t="s">
        <v>702</v>
      </c>
      <c r="B1043" s="446" t="s">
        <v>706</v>
      </c>
      <c r="C1043" s="491" t="s">
        <v>2258</v>
      </c>
      <c r="D1043" s="472" t="s">
        <v>2897</v>
      </c>
      <c r="E1043" s="419" t="s">
        <v>2259</v>
      </c>
      <c r="F1043" s="419" t="s">
        <v>2260</v>
      </c>
      <c r="G1043" s="419" t="s">
        <v>2260</v>
      </c>
      <c r="H1043" s="419"/>
      <c r="I1043" s="546" t="s">
        <v>2142</v>
      </c>
      <c r="J1043" s="419" t="s">
        <v>44</v>
      </c>
      <c r="K1043" s="419" t="s">
        <v>44</v>
      </c>
      <c r="L1043" s="419" t="s">
        <v>776</v>
      </c>
      <c r="M1043" s="419" t="s">
        <v>45</v>
      </c>
      <c r="N1043" s="419">
        <v>0</v>
      </c>
      <c r="O1043" s="419">
        <v>0</v>
      </c>
      <c r="P1043" s="419" t="s">
        <v>761</v>
      </c>
      <c r="Q1043" s="419" t="s">
        <v>2261</v>
      </c>
      <c r="R1043" s="422">
        <v>86</v>
      </c>
      <c r="S1043" s="422">
        <v>525</v>
      </c>
      <c r="T1043" s="442">
        <v>43405</v>
      </c>
      <c r="U1043" s="424" t="s">
        <v>2262</v>
      </c>
      <c r="V1043" s="419" t="s">
        <v>2258</v>
      </c>
      <c r="W1043" s="414" t="s">
        <v>2263</v>
      </c>
      <c r="X1043" s="550"/>
      <c r="Y1043" s="542"/>
      <c r="Z1043" s="548"/>
    </row>
    <row r="1044" spans="1:26" ht="14.25" customHeight="1">
      <c r="A1044" s="491" t="s">
        <v>702</v>
      </c>
      <c r="B1044" s="446" t="s">
        <v>706</v>
      </c>
      <c r="C1044" s="491" t="s">
        <v>2264</v>
      </c>
      <c r="D1044" s="472" t="s">
        <v>2897</v>
      </c>
      <c r="E1044" s="419" t="s">
        <v>2265</v>
      </c>
      <c r="F1044" s="419" t="s">
        <v>2266</v>
      </c>
      <c r="G1044" s="419"/>
      <c r="H1044" s="419" t="s">
        <v>42</v>
      </c>
      <c r="I1044" s="542" t="s">
        <v>1320</v>
      </c>
      <c r="J1044" s="419" t="s">
        <v>44</v>
      </c>
      <c r="K1044" s="419" t="s">
        <v>44</v>
      </c>
      <c r="L1044" s="419" t="s">
        <v>44</v>
      </c>
      <c r="M1044" s="419" t="s">
        <v>45</v>
      </c>
      <c r="N1044" s="419">
        <v>0</v>
      </c>
      <c r="O1044" s="419">
        <v>0</v>
      </c>
      <c r="P1044" s="419" t="s">
        <v>761</v>
      </c>
      <c r="Q1044" s="419" t="s">
        <v>2261</v>
      </c>
      <c r="R1044" s="422">
        <v>32</v>
      </c>
      <c r="S1044" s="422">
        <v>150</v>
      </c>
      <c r="T1044" s="442"/>
      <c r="U1044" s="424" t="s">
        <v>2267</v>
      </c>
      <c r="V1044" s="419" t="s">
        <v>2264</v>
      </c>
      <c r="W1044" s="414" t="s">
        <v>2270</v>
      </c>
      <c r="X1044" s="550"/>
      <c r="Y1044" s="542"/>
      <c r="Z1044" s="548"/>
    </row>
    <row r="1045" spans="1:26" ht="14.25" customHeight="1">
      <c r="A1045" s="491" t="s">
        <v>702</v>
      </c>
      <c r="B1045" s="446" t="s">
        <v>706</v>
      </c>
      <c r="C1045" s="491" t="s">
        <v>727</v>
      </c>
      <c r="D1045" s="547" t="s">
        <v>1655</v>
      </c>
      <c r="E1045" s="419" t="s">
        <v>1418</v>
      </c>
      <c r="F1045" s="419" t="s">
        <v>1667</v>
      </c>
      <c r="G1045" s="419" t="s">
        <v>1668</v>
      </c>
      <c r="H1045" s="419" t="s">
        <v>42</v>
      </c>
      <c r="I1045" s="419" t="s">
        <v>135</v>
      </c>
      <c r="J1045" s="419" t="s">
        <v>44</v>
      </c>
      <c r="K1045" s="419" t="s">
        <v>968</v>
      </c>
      <c r="L1045" s="419" t="s">
        <v>760</v>
      </c>
      <c r="M1045" s="419" t="s">
        <v>45</v>
      </c>
      <c r="N1045" s="419">
        <v>23.4008</v>
      </c>
      <c r="O1045" s="419">
        <v>97.848529999999997</v>
      </c>
      <c r="P1045" s="419" t="s">
        <v>761</v>
      </c>
      <c r="Q1045" s="419" t="s">
        <v>780</v>
      </c>
      <c r="R1045" s="556"/>
      <c r="S1045" s="549"/>
      <c r="T1045" s="442">
        <v>43049</v>
      </c>
      <c r="U1045" s="424" t="s">
        <v>970</v>
      </c>
      <c r="V1045" s="419" t="s">
        <v>727</v>
      </c>
      <c r="W1045" s="414" t="s">
        <v>2197</v>
      </c>
      <c r="X1045" s="550"/>
      <c r="Y1045" s="542"/>
      <c r="Z1045" s="548"/>
    </row>
    <row r="1046" spans="1:26" ht="14.25" customHeight="1">
      <c r="A1046" s="491" t="s">
        <v>702</v>
      </c>
      <c r="B1046" s="446" t="s">
        <v>706</v>
      </c>
      <c r="C1046" s="491" t="s">
        <v>1104</v>
      </c>
      <c r="D1046" s="421" t="s">
        <v>1654</v>
      </c>
      <c r="E1046" s="419"/>
      <c r="F1046" s="419"/>
      <c r="G1046" s="419"/>
      <c r="H1046" s="419"/>
      <c r="I1046" s="419"/>
      <c r="J1046" s="419" t="s">
        <v>1449</v>
      </c>
      <c r="K1046" s="419" t="s">
        <v>44</v>
      </c>
      <c r="L1046" s="419" t="s">
        <v>1099</v>
      </c>
      <c r="M1046" s="419" t="s">
        <v>45</v>
      </c>
      <c r="N1046" s="419"/>
      <c r="O1046" s="419"/>
      <c r="P1046" s="419" t="s">
        <v>761</v>
      </c>
      <c r="Q1046" s="419" t="s">
        <v>780</v>
      </c>
      <c r="R1046" s="430"/>
      <c r="S1046" s="423"/>
      <c r="T1046" s="442"/>
      <c r="U1046" s="424" t="s">
        <v>1095</v>
      </c>
      <c r="V1046" s="419" t="s">
        <v>1104</v>
      </c>
      <c r="W1046" s="422"/>
      <c r="X1046" s="550"/>
      <c r="Y1046" s="542"/>
      <c r="Z1046" s="548"/>
    </row>
    <row r="1047" spans="1:26" ht="14.25" customHeight="1">
      <c r="A1047" s="491" t="s">
        <v>702</v>
      </c>
      <c r="B1047" s="446" t="s">
        <v>706</v>
      </c>
      <c r="C1047" s="491" t="s">
        <v>728</v>
      </c>
      <c r="D1047" s="472" t="s">
        <v>2897</v>
      </c>
      <c r="E1047" s="419" t="s">
        <v>1420</v>
      </c>
      <c r="F1047" s="419" t="s">
        <v>1760</v>
      </c>
      <c r="G1047" s="419" t="s">
        <v>1761</v>
      </c>
      <c r="H1047" s="419" t="s">
        <v>42</v>
      </c>
      <c r="I1047" s="542" t="s">
        <v>2727</v>
      </c>
      <c r="J1047" s="419" t="s">
        <v>44</v>
      </c>
      <c r="K1047" s="419" t="s">
        <v>44</v>
      </c>
      <c r="L1047" s="419" t="s">
        <v>44</v>
      </c>
      <c r="M1047" s="419" t="s">
        <v>45</v>
      </c>
      <c r="N1047" s="419">
        <v>23.450914000000001</v>
      </c>
      <c r="O1047" s="419">
        <v>97.926813999999993</v>
      </c>
      <c r="P1047" s="419" t="s">
        <v>761</v>
      </c>
      <c r="Q1047" s="419" t="s">
        <v>780</v>
      </c>
      <c r="R1047" s="422">
        <v>53</v>
      </c>
      <c r="S1047" s="422">
        <v>261</v>
      </c>
      <c r="T1047" s="442"/>
      <c r="U1047" s="424"/>
      <c r="V1047" s="419" t="s">
        <v>728</v>
      </c>
      <c r="W1047" s="414" t="s">
        <v>2198</v>
      </c>
      <c r="X1047" s="550"/>
      <c r="Y1047" s="542"/>
      <c r="Z1047" s="548"/>
    </row>
    <row r="1048" spans="1:26" ht="14.25" customHeight="1">
      <c r="A1048" s="491" t="s">
        <v>702</v>
      </c>
      <c r="B1048" s="446" t="s">
        <v>706</v>
      </c>
      <c r="C1048" s="491" t="s">
        <v>733</v>
      </c>
      <c r="D1048" s="472" t="s">
        <v>2897</v>
      </c>
      <c r="E1048" s="419" t="s">
        <v>1421</v>
      </c>
      <c r="F1048" s="419" t="s">
        <v>1760</v>
      </c>
      <c r="G1048" s="419" t="s">
        <v>1659</v>
      </c>
      <c r="H1048" s="419" t="s">
        <v>42</v>
      </c>
      <c r="I1048" s="419" t="s">
        <v>2727</v>
      </c>
      <c r="J1048" s="419" t="s">
        <v>44</v>
      </c>
      <c r="K1048" s="419" t="s">
        <v>44</v>
      </c>
      <c r="L1048" s="419" t="s">
        <v>44</v>
      </c>
      <c r="M1048" s="419" t="s">
        <v>45</v>
      </c>
      <c r="N1048" s="419">
        <v>23.460349999999998</v>
      </c>
      <c r="O1048" s="419">
        <v>97.947360000000003</v>
      </c>
      <c r="P1048" s="419" t="s">
        <v>761</v>
      </c>
      <c r="Q1048" s="419" t="s">
        <v>762</v>
      </c>
      <c r="R1048" s="422">
        <v>37</v>
      </c>
      <c r="S1048" s="422">
        <v>150</v>
      </c>
      <c r="T1048" s="442">
        <v>42836</v>
      </c>
      <c r="U1048" s="424" t="s">
        <v>971</v>
      </c>
      <c r="V1048" s="419"/>
      <c r="W1048" s="414" t="s">
        <v>2199</v>
      </c>
      <c r="X1048" s="550"/>
      <c r="Y1048" s="542"/>
      <c r="Z1048" s="548"/>
    </row>
    <row r="1049" spans="1:26" ht="14.25" customHeight="1">
      <c r="A1049" s="491" t="s">
        <v>702</v>
      </c>
      <c r="B1049" s="446" t="s">
        <v>706</v>
      </c>
      <c r="C1049" s="491" t="s">
        <v>707</v>
      </c>
      <c r="D1049" s="472" t="s">
        <v>2897</v>
      </c>
      <c r="E1049" s="419" t="s">
        <v>1422</v>
      </c>
      <c r="F1049" s="419" t="s">
        <v>1760</v>
      </c>
      <c r="G1049" s="419" t="s">
        <v>1762</v>
      </c>
      <c r="H1049" s="419" t="s">
        <v>42</v>
      </c>
      <c r="I1049" s="419" t="s">
        <v>1320</v>
      </c>
      <c r="J1049" s="419" t="s">
        <v>44</v>
      </c>
      <c r="K1049" s="419" t="s">
        <v>44</v>
      </c>
      <c r="L1049" s="419" t="s">
        <v>44</v>
      </c>
      <c r="M1049" s="419" t="s">
        <v>45</v>
      </c>
      <c r="N1049" s="419">
        <v>23.460349999999998</v>
      </c>
      <c r="O1049" s="419">
        <v>97.947360000000003</v>
      </c>
      <c r="P1049" s="419" t="s">
        <v>761</v>
      </c>
      <c r="Q1049" s="419" t="s">
        <v>780</v>
      </c>
      <c r="R1049" s="422">
        <v>28</v>
      </c>
      <c r="S1049" s="422">
        <v>135</v>
      </c>
      <c r="T1049" s="442"/>
      <c r="U1049" s="424"/>
      <c r="V1049" s="419" t="s">
        <v>707</v>
      </c>
      <c r="W1049" s="414" t="s">
        <v>2200</v>
      </c>
      <c r="X1049" s="550"/>
      <c r="Y1049" s="542"/>
      <c r="Z1049" s="548"/>
    </row>
    <row r="1050" spans="1:26" ht="14.25" customHeight="1">
      <c r="A1050" s="491" t="s">
        <v>702</v>
      </c>
      <c r="B1050" s="446" t="s">
        <v>706</v>
      </c>
      <c r="C1050" s="491" t="s">
        <v>752</v>
      </c>
      <c r="D1050" s="421" t="s">
        <v>1654</v>
      </c>
      <c r="E1050" s="419"/>
      <c r="F1050" s="419"/>
      <c r="G1050" s="419"/>
      <c r="H1050" s="419"/>
      <c r="I1050" s="419"/>
      <c r="J1050" s="419" t="s">
        <v>1449</v>
      </c>
      <c r="K1050" s="419" t="s">
        <v>44</v>
      </c>
      <c r="L1050" s="419" t="s">
        <v>44</v>
      </c>
      <c r="M1050" s="419" t="s">
        <v>45</v>
      </c>
      <c r="N1050" s="419"/>
      <c r="O1050" s="419"/>
      <c r="P1050" s="419" t="s">
        <v>761</v>
      </c>
      <c r="Q1050" s="419" t="s">
        <v>780</v>
      </c>
      <c r="R1050" s="430"/>
      <c r="S1050" s="423"/>
      <c r="T1050" s="442">
        <v>42747</v>
      </c>
      <c r="U1050" s="424"/>
      <c r="V1050" s="419"/>
      <c r="W1050" s="422"/>
      <c r="X1050" s="550"/>
      <c r="Y1050" s="542"/>
      <c r="Z1050" s="548"/>
    </row>
    <row r="1051" spans="1:26" ht="14.25" customHeight="1">
      <c r="A1051" s="491" t="s">
        <v>702</v>
      </c>
      <c r="B1051" s="446" t="s">
        <v>706</v>
      </c>
      <c r="C1051" s="491" t="s">
        <v>2139</v>
      </c>
      <c r="D1051" s="472" t="s">
        <v>2897</v>
      </c>
      <c r="E1051" s="419" t="s">
        <v>1425</v>
      </c>
      <c r="F1051" s="419" t="s">
        <v>1765</v>
      </c>
      <c r="G1051" s="419" t="s">
        <v>1765</v>
      </c>
      <c r="H1051" s="419" t="s">
        <v>42</v>
      </c>
      <c r="I1051" s="419" t="s">
        <v>1320</v>
      </c>
      <c r="J1051" s="419" t="s">
        <v>44</v>
      </c>
      <c r="K1051" s="419" t="s">
        <v>44</v>
      </c>
      <c r="L1051" s="419" t="s">
        <v>44</v>
      </c>
      <c r="M1051" s="419" t="s">
        <v>45</v>
      </c>
      <c r="N1051" s="419">
        <v>23.591999999999999</v>
      </c>
      <c r="O1051" s="419">
        <v>97.796999999999997</v>
      </c>
      <c r="P1051" s="419" t="s">
        <v>761</v>
      </c>
      <c r="Q1051" s="419" t="s">
        <v>780</v>
      </c>
      <c r="R1051" s="422">
        <v>66</v>
      </c>
      <c r="S1051" s="422">
        <v>346</v>
      </c>
      <c r="T1051" s="442" t="s">
        <v>805</v>
      </c>
      <c r="U1051" s="424"/>
      <c r="V1051" s="419"/>
      <c r="W1051" s="414" t="s">
        <v>2201</v>
      </c>
      <c r="X1051" s="550"/>
      <c r="Y1051" s="542"/>
      <c r="Z1051" s="548"/>
    </row>
    <row r="1052" spans="1:26" ht="14.25" customHeight="1">
      <c r="A1052" s="491" t="s">
        <v>702</v>
      </c>
      <c r="B1052" s="446" t="s">
        <v>706</v>
      </c>
      <c r="C1052" s="491" t="s">
        <v>741</v>
      </c>
      <c r="D1052" s="472" t="s">
        <v>2897</v>
      </c>
      <c r="E1052" s="419" t="s">
        <v>1611</v>
      </c>
      <c r="F1052" s="419" t="s">
        <v>1848</v>
      </c>
      <c r="G1052" s="419" t="s">
        <v>741</v>
      </c>
      <c r="H1052" s="419"/>
      <c r="I1052" s="546" t="s">
        <v>2142</v>
      </c>
      <c r="J1052" s="419" t="s">
        <v>44</v>
      </c>
      <c r="K1052" s="419" t="s">
        <v>44</v>
      </c>
      <c r="L1052" s="419" t="s">
        <v>776</v>
      </c>
      <c r="M1052" s="419" t="s">
        <v>45</v>
      </c>
      <c r="N1052" s="419">
        <v>0</v>
      </c>
      <c r="O1052" s="419">
        <v>0</v>
      </c>
      <c r="P1052" s="419" t="s">
        <v>761</v>
      </c>
      <c r="Q1052" s="419" t="s">
        <v>802</v>
      </c>
      <c r="R1052" s="422">
        <v>24</v>
      </c>
      <c r="S1052" s="422">
        <v>84</v>
      </c>
      <c r="T1052" s="442" t="s">
        <v>1083</v>
      </c>
      <c r="U1052" s="424"/>
      <c r="V1052" s="419"/>
      <c r="W1052" s="414" t="s">
        <v>2202</v>
      </c>
      <c r="X1052" s="550"/>
      <c r="Y1052" s="542"/>
      <c r="Z1052" s="548"/>
    </row>
    <row r="1053" spans="1:26" ht="14.25" customHeight="1">
      <c r="A1053" s="491" t="s">
        <v>702</v>
      </c>
      <c r="B1053" s="446" t="s">
        <v>706</v>
      </c>
      <c r="C1053" s="491" t="s">
        <v>2140</v>
      </c>
      <c r="D1053" s="472" t="s">
        <v>2897</v>
      </c>
      <c r="E1053" s="419" t="s">
        <v>1424</v>
      </c>
      <c r="F1053" s="419" t="s">
        <v>1765</v>
      </c>
      <c r="G1053" s="419" t="s">
        <v>1765</v>
      </c>
      <c r="H1053" s="419" t="s">
        <v>42</v>
      </c>
      <c r="I1053" s="419" t="s">
        <v>1320</v>
      </c>
      <c r="J1053" s="419" t="s">
        <v>44</v>
      </c>
      <c r="K1053" s="419" t="s">
        <v>968</v>
      </c>
      <c r="L1053" s="419" t="s">
        <v>44</v>
      </c>
      <c r="M1053" s="419" t="s">
        <v>45</v>
      </c>
      <c r="N1053" s="419">
        <v>23.588920000000002</v>
      </c>
      <c r="O1053" s="419">
        <v>97.793019999999999</v>
      </c>
      <c r="P1053" s="419" t="s">
        <v>761</v>
      </c>
      <c r="Q1053" s="419" t="s">
        <v>780</v>
      </c>
      <c r="R1053" s="422">
        <v>76</v>
      </c>
      <c r="S1053" s="422">
        <v>344</v>
      </c>
      <c r="T1053" s="442"/>
      <c r="U1053" s="424"/>
      <c r="V1053" s="419" t="s">
        <v>736</v>
      </c>
      <c r="W1053" s="414" t="s">
        <v>2203</v>
      </c>
      <c r="X1053" s="550"/>
      <c r="Y1053" s="542"/>
      <c r="Z1053" s="548"/>
    </row>
    <row r="1054" spans="1:26" ht="14.25" customHeight="1">
      <c r="A1054" s="491" t="s">
        <v>702</v>
      </c>
      <c r="B1054" s="446" t="s">
        <v>706</v>
      </c>
      <c r="C1054" s="491" t="s">
        <v>1116</v>
      </c>
      <c r="D1054" s="547" t="s">
        <v>1654</v>
      </c>
      <c r="E1054" s="419"/>
      <c r="F1054" s="419"/>
      <c r="G1054" s="419"/>
      <c r="H1054" s="419"/>
      <c r="I1054" s="419"/>
      <c r="J1054" s="419" t="s">
        <v>1449</v>
      </c>
      <c r="K1054" s="419" t="s">
        <v>44</v>
      </c>
      <c r="L1054" s="419" t="s">
        <v>44</v>
      </c>
      <c r="M1054" s="419" t="s">
        <v>45</v>
      </c>
      <c r="N1054" s="419"/>
      <c r="O1054" s="419"/>
      <c r="P1054" s="419" t="s">
        <v>761</v>
      </c>
      <c r="Q1054" s="419" t="s">
        <v>780</v>
      </c>
      <c r="R1054" s="556"/>
      <c r="S1054" s="549"/>
      <c r="T1054" s="442"/>
      <c r="U1054" s="424" t="s">
        <v>1095</v>
      </c>
      <c r="V1054" s="419"/>
      <c r="W1054" s="548"/>
      <c r="X1054" s="550"/>
      <c r="Y1054" s="542"/>
      <c r="Z1054" s="548"/>
    </row>
    <row r="1055" spans="1:26" ht="14.25" customHeight="1">
      <c r="A1055" s="491" t="s">
        <v>702</v>
      </c>
      <c r="B1055" s="446" t="s">
        <v>706</v>
      </c>
      <c r="C1055" s="491" t="s">
        <v>732</v>
      </c>
      <c r="D1055" s="472" t="s">
        <v>2897</v>
      </c>
      <c r="E1055" s="419" t="s">
        <v>1442</v>
      </c>
      <c r="F1055" s="419" t="s">
        <v>1769</v>
      </c>
      <c r="G1055" s="419" t="s">
        <v>1770</v>
      </c>
      <c r="H1055" s="419"/>
      <c r="I1055" s="546" t="s">
        <v>2142</v>
      </c>
      <c r="J1055" s="419" t="s">
        <v>44</v>
      </c>
      <c r="K1055" s="419" t="s">
        <v>44</v>
      </c>
      <c r="L1055" s="419" t="s">
        <v>776</v>
      </c>
      <c r="M1055" s="419" t="s">
        <v>45</v>
      </c>
      <c r="N1055" s="419">
        <v>23.850999999999999</v>
      </c>
      <c r="O1055" s="419">
        <v>98.337999999999994</v>
      </c>
      <c r="P1055" s="419" t="s">
        <v>761</v>
      </c>
      <c r="Q1055" s="419" t="s">
        <v>762</v>
      </c>
      <c r="R1055" s="422">
        <v>30</v>
      </c>
      <c r="S1055" s="422">
        <v>170</v>
      </c>
      <c r="T1055" s="442"/>
      <c r="U1055" s="424" t="s">
        <v>982</v>
      </c>
      <c r="V1055" s="419"/>
      <c r="W1055" s="414" t="s">
        <v>2204</v>
      </c>
      <c r="X1055" s="550"/>
      <c r="Y1055" s="542"/>
      <c r="Z1055" s="548"/>
    </row>
    <row r="1056" spans="1:26" ht="14.25" customHeight="1">
      <c r="A1056" s="491" t="s">
        <v>702</v>
      </c>
      <c r="B1056" s="446" t="s">
        <v>706</v>
      </c>
      <c r="C1056" s="491" t="s">
        <v>715</v>
      </c>
      <c r="D1056" s="472" t="s">
        <v>2897</v>
      </c>
      <c r="E1056" s="419" t="s">
        <v>1417</v>
      </c>
      <c r="F1056" s="419"/>
      <c r="G1056" s="419"/>
      <c r="H1056" s="419" t="s">
        <v>42</v>
      </c>
      <c r="I1056" s="419" t="s">
        <v>2727</v>
      </c>
      <c r="J1056" s="419" t="s">
        <v>44</v>
      </c>
      <c r="K1056" s="419" t="s">
        <v>968</v>
      </c>
      <c r="L1056" s="419" t="s">
        <v>44</v>
      </c>
      <c r="M1056" s="419" t="s">
        <v>45</v>
      </c>
      <c r="N1056" s="419">
        <v>23.400155999999999</v>
      </c>
      <c r="O1056" s="419">
        <v>98.220614999999995</v>
      </c>
      <c r="P1056" s="419" t="s">
        <v>761</v>
      </c>
      <c r="Q1056" s="419" t="s">
        <v>780</v>
      </c>
      <c r="R1056" s="548">
        <v>38</v>
      </c>
      <c r="S1056" s="548">
        <v>208</v>
      </c>
      <c r="T1056" s="442"/>
      <c r="U1056" s="424"/>
      <c r="V1056" s="419" t="s">
        <v>969</v>
      </c>
      <c r="W1056" s="414" t="s">
        <v>2205</v>
      </c>
      <c r="X1056" s="550"/>
      <c r="Y1056" s="542"/>
      <c r="Z1056" s="548"/>
    </row>
    <row r="1057" spans="1:26" ht="14.25" customHeight="1">
      <c r="A1057" s="491" t="s">
        <v>702</v>
      </c>
      <c r="B1057" s="446" t="s">
        <v>706</v>
      </c>
      <c r="C1057" s="491" t="s">
        <v>711</v>
      </c>
      <c r="D1057" s="472" t="s">
        <v>2897</v>
      </c>
      <c r="E1057" s="419" t="s">
        <v>1423</v>
      </c>
      <c r="F1057" s="419" t="s">
        <v>1763</v>
      </c>
      <c r="G1057" s="419" t="s">
        <v>1764</v>
      </c>
      <c r="H1057" s="419" t="s">
        <v>42</v>
      </c>
      <c r="I1057" s="419" t="s">
        <v>1320</v>
      </c>
      <c r="J1057" s="419" t="s">
        <v>44</v>
      </c>
      <c r="K1057" s="419" t="s">
        <v>44</v>
      </c>
      <c r="L1057" s="419" t="s">
        <v>44</v>
      </c>
      <c r="M1057" s="419" t="s">
        <v>45</v>
      </c>
      <c r="N1057" s="419">
        <v>23.463000000000001</v>
      </c>
      <c r="O1057" s="419">
        <v>98.248999999999995</v>
      </c>
      <c r="P1057" s="419" t="s">
        <v>761</v>
      </c>
      <c r="Q1057" s="419" t="s">
        <v>780</v>
      </c>
      <c r="R1057" s="548">
        <v>19</v>
      </c>
      <c r="S1057" s="548">
        <v>89</v>
      </c>
      <c r="T1057" s="442"/>
      <c r="U1057" s="424"/>
      <c r="V1057" s="419" t="s">
        <v>972</v>
      </c>
      <c r="W1057" s="414" t="s">
        <v>2206</v>
      </c>
      <c r="X1057" s="550"/>
      <c r="Y1057" s="542"/>
      <c r="Z1057" s="548"/>
    </row>
    <row r="1058" spans="1:26" ht="14.25" customHeight="1">
      <c r="A1058" s="491" t="s">
        <v>702</v>
      </c>
      <c r="B1058" s="446" t="s">
        <v>706</v>
      </c>
      <c r="C1058" s="491" t="s">
        <v>1120</v>
      </c>
      <c r="D1058" s="421" t="s">
        <v>1654</v>
      </c>
      <c r="E1058" s="419"/>
      <c r="F1058" s="419"/>
      <c r="G1058" s="419"/>
      <c r="H1058" s="419"/>
      <c r="I1058" s="419"/>
      <c r="J1058" s="419" t="s">
        <v>1449</v>
      </c>
      <c r="K1058" s="419" t="s">
        <v>44</v>
      </c>
      <c r="L1058" s="419" t="s">
        <v>1099</v>
      </c>
      <c r="M1058" s="419" t="s">
        <v>45</v>
      </c>
      <c r="N1058" s="419"/>
      <c r="O1058" s="419"/>
      <c r="P1058" s="419" t="s">
        <v>761</v>
      </c>
      <c r="Q1058" s="419" t="s">
        <v>780</v>
      </c>
      <c r="R1058" s="430"/>
      <c r="S1058" s="423"/>
      <c r="T1058" s="442"/>
      <c r="U1058" s="424" t="s">
        <v>1095</v>
      </c>
      <c r="V1058" s="419" t="s">
        <v>1121</v>
      </c>
      <c r="W1058" s="422"/>
      <c r="X1058" s="550"/>
      <c r="Y1058" s="542"/>
      <c r="Z1058" s="548"/>
    </row>
    <row r="1059" spans="1:26" ht="14.25" customHeight="1">
      <c r="A1059" s="491" t="s">
        <v>702</v>
      </c>
      <c r="B1059" s="446" t="s">
        <v>706</v>
      </c>
      <c r="C1059" s="491" t="s">
        <v>718</v>
      </c>
      <c r="D1059" s="472" t="s">
        <v>2897</v>
      </c>
      <c r="E1059" s="419" t="s">
        <v>1429</v>
      </c>
      <c r="F1059" s="419" t="s">
        <v>1766</v>
      </c>
      <c r="G1059" s="419" t="s">
        <v>1767</v>
      </c>
      <c r="H1059" s="419" t="s">
        <v>42</v>
      </c>
      <c r="I1059" s="419" t="s">
        <v>2727</v>
      </c>
      <c r="J1059" s="419" t="s">
        <v>44</v>
      </c>
      <c r="K1059" s="419" t="s">
        <v>44</v>
      </c>
      <c r="L1059" s="419" t="s">
        <v>44</v>
      </c>
      <c r="M1059" s="419" t="s">
        <v>45</v>
      </c>
      <c r="N1059" s="419">
        <v>23.694130000000001</v>
      </c>
      <c r="O1059" s="419">
        <v>97.818979999999996</v>
      </c>
      <c r="P1059" s="419" t="s">
        <v>761</v>
      </c>
      <c r="Q1059" s="419" t="s">
        <v>780</v>
      </c>
      <c r="R1059" s="548">
        <v>56</v>
      </c>
      <c r="S1059" s="548">
        <v>263</v>
      </c>
      <c r="T1059" s="442"/>
      <c r="U1059" s="424"/>
      <c r="V1059" s="419" t="s">
        <v>718</v>
      </c>
      <c r="W1059" s="414" t="s">
        <v>2207</v>
      </c>
      <c r="X1059" s="550"/>
      <c r="Y1059" s="542"/>
      <c r="Z1059" s="548"/>
    </row>
    <row r="1060" spans="1:26" ht="14.25" customHeight="1">
      <c r="A1060" s="491" t="s">
        <v>702</v>
      </c>
      <c r="B1060" s="446" t="s">
        <v>706</v>
      </c>
      <c r="C1060" s="491" t="s">
        <v>2141</v>
      </c>
      <c r="D1060" s="472" t="s">
        <v>2897</v>
      </c>
      <c r="E1060" s="419" t="s">
        <v>1428</v>
      </c>
      <c r="F1060" s="419"/>
      <c r="G1060" s="419"/>
      <c r="H1060" s="419" t="s">
        <v>42</v>
      </c>
      <c r="I1060" s="419" t="s">
        <v>1320</v>
      </c>
      <c r="J1060" s="419" t="s">
        <v>44</v>
      </c>
      <c r="K1060" s="419" t="s">
        <v>44</v>
      </c>
      <c r="L1060" s="419" t="s">
        <v>44</v>
      </c>
      <c r="M1060" s="419" t="s">
        <v>45</v>
      </c>
      <c r="N1060" s="419">
        <v>23.682887999999998</v>
      </c>
      <c r="O1060" s="419">
        <v>97.810101000000003</v>
      </c>
      <c r="P1060" s="419" t="s">
        <v>761</v>
      </c>
      <c r="Q1060" s="419" t="s">
        <v>780</v>
      </c>
      <c r="R1060" s="422">
        <v>36</v>
      </c>
      <c r="S1060" s="422">
        <v>120</v>
      </c>
      <c r="T1060" s="442" t="s">
        <v>805</v>
      </c>
      <c r="U1060" s="424"/>
      <c r="V1060" s="419"/>
      <c r="W1060" s="414" t="s">
        <v>2208</v>
      </c>
      <c r="X1060" s="550"/>
      <c r="Y1060" s="542"/>
      <c r="Z1060" s="548"/>
    </row>
    <row r="1061" spans="1:26" ht="14.25" customHeight="1">
      <c r="A1061" s="491" t="s">
        <v>702</v>
      </c>
      <c r="B1061" s="446" t="s">
        <v>706</v>
      </c>
      <c r="C1061" s="491" t="s">
        <v>729</v>
      </c>
      <c r="D1061" s="472" t="s">
        <v>2897</v>
      </c>
      <c r="E1061" s="419" t="s">
        <v>1419</v>
      </c>
      <c r="F1061" s="419" t="s">
        <v>1667</v>
      </c>
      <c r="G1061" s="419">
        <v>0</v>
      </c>
      <c r="H1061" s="419" t="s">
        <v>42</v>
      </c>
      <c r="I1061" s="419" t="s">
        <v>1320</v>
      </c>
      <c r="J1061" s="419" t="s">
        <v>44</v>
      </c>
      <c r="K1061" s="419" t="s">
        <v>968</v>
      </c>
      <c r="L1061" s="419" t="s">
        <v>44</v>
      </c>
      <c r="M1061" s="419" t="s">
        <v>45</v>
      </c>
      <c r="N1061" s="419">
        <v>23.447111</v>
      </c>
      <c r="O1061" s="419">
        <v>97.868876999999998</v>
      </c>
      <c r="P1061" s="419" t="s">
        <v>761</v>
      </c>
      <c r="Q1061" s="419" t="s">
        <v>762</v>
      </c>
      <c r="R1061" s="422">
        <v>105</v>
      </c>
      <c r="S1061" s="422">
        <v>642</v>
      </c>
      <c r="T1061" s="442"/>
      <c r="U1061" s="424"/>
      <c r="V1061" s="419"/>
      <c r="W1061" s="414" t="s">
        <v>2209</v>
      </c>
      <c r="X1061" s="550"/>
      <c r="Y1061" s="542"/>
      <c r="Z1061" s="548"/>
    </row>
    <row r="1062" spans="1:26" ht="14.25" customHeight="1">
      <c r="A1062" s="491" t="s">
        <v>702</v>
      </c>
      <c r="B1062" s="446" t="s">
        <v>706</v>
      </c>
      <c r="C1062" s="491" t="s">
        <v>749</v>
      </c>
      <c r="D1062" s="472" t="s">
        <v>2897</v>
      </c>
      <c r="E1062" s="419" t="s">
        <v>1900</v>
      </c>
      <c r="F1062" s="419" t="s">
        <v>749</v>
      </c>
      <c r="G1062" s="419" t="s">
        <v>749</v>
      </c>
      <c r="H1062" s="419" t="s">
        <v>42</v>
      </c>
      <c r="I1062" s="419" t="s">
        <v>1320</v>
      </c>
      <c r="J1062" s="419" t="s">
        <v>44</v>
      </c>
      <c r="K1062" s="419" t="s">
        <v>44</v>
      </c>
      <c r="L1062" s="419" t="s">
        <v>44</v>
      </c>
      <c r="M1062" s="419" t="s">
        <v>45</v>
      </c>
      <c r="N1062" s="419">
        <v>0</v>
      </c>
      <c r="O1062" s="419">
        <v>0</v>
      </c>
      <c r="P1062" s="419" t="s">
        <v>761</v>
      </c>
      <c r="Q1062" s="419"/>
      <c r="R1062" s="548">
        <v>36</v>
      </c>
      <c r="S1062" s="548">
        <v>192</v>
      </c>
      <c r="T1062" s="442"/>
      <c r="U1062" s="424" t="s">
        <v>1153</v>
      </c>
      <c r="V1062" s="419"/>
      <c r="W1062" s="414" t="s">
        <v>2210</v>
      </c>
      <c r="X1062" s="550"/>
      <c r="Y1062" s="542"/>
      <c r="Z1062" s="548"/>
    </row>
    <row r="1063" spans="1:26" ht="14.25" customHeight="1">
      <c r="A1063" s="491" t="s">
        <v>702</v>
      </c>
      <c r="B1063" s="446" t="s">
        <v>706</v>
      </c>
      <c r="C1063" s="491" t="s">
        <v>725</v>
      </c>
      <c r="D1063" s="472" t="s">
        <v>2897</v>
      </c>
      <c r="E1063" s="419" t="s">
        <v>1416</v>
      </c>
      <c r="F1063" s="419" t="s">
        <v>1667</v>
      </c>
      <c r="G1063" s="419" t="s">
        <v>1668</v>
      </c>
      <c r="H1063" s="419" t="s">
        <v>42</v>
      </c>
      <c r="I1063" s="419" t="s">
        <v>2727</v>
      </c>
      <c r="J1063" s="419" t="s">
        <v>44</v>
      </c>
      <c r="K1063" s="419" t="s">
        <v>968</v>
      </c>
      <c r="L1063" s="419" t="s">
        <v>44</v>
      </c>
      <c r="M1063" s="419" t="s">
        <v>45</v>
      </c>
      <c r="N1063" s="419">
        <v>23.38503</v>
      </c>
      <c r="O1063" s="419">
        <v>97.837040000000002</v>
      </c>
      <c r="P1063" s="419" t="s">
        <v>761</v>
      </c>
      <c r="Q1063" s="419" t="s">
        <v>780</v>
      </c>
      <c r="R1063" s="548">
        <v>205</v>
      </c>
      <c r="S1063" s="548">
        <v>1053</v>
      </c>
      <c r="T1063" s="442"/>
      <c r="U1063" s="424"/>
      <c r="V1063" s="419" t="s">
        <v>725</v>
      </c>
      <c r="W1063" s="414" t="s">
        <v>2211</v>
      </c>
      <c r="X1063" s="550"/>
      <c r="Y1063" s="542"/>
      <c r="Z1063" s="548"/>
    </row>
    <row r="1064" spans="1:26" ht="14.25" customHeight="1">
      <c r="A1064" s="491" t="s">
        <v>702</v>
      </c>
      <c r="B1064" s="446" t="s">
        <v>1242</v>
      </c>
      <c r="C1064" s="491" t="s">
        <v>2900</v>
      </c>
      <c r="D1064" s="421"/>
      <c r="E1064" s="419"/>
      <c r="F1064" s="419"/>
      <c r="G1064" s="419"/>
      <c r="H1064" s="419"/>
      <c r="I1064" s="419"/>
      <c r="J1064" s="419" t="s">
        <v>1449</v>
      </c>
      <c r="K1064" s="419" t="s">
        <v>44</v>
      </c>
      <c r="L1064" s="419" t="s">
        <v>776</v>
      </c>
      <c r="M1064" s="419" t="s">
        <v>45</v>
      </c>
      <c r="N1064" s="419"/>
      <c r="O1064" s="419"/>
      <c r="P1064" s="419" t="s">
        <v>761</v>
      </c>
      <c r="Q1064" s="419" t="s">
        <v>2901</v>
      </c>
      <c r="R1064" s="430"/>
      <c r="S1064" s="423"/>
      <c r="T1064" s="442"/>
      <c r="U1064" s="424"/>
      <c r="V1064" s="419"/>
      <c r="W1064" s="548"/>
      <c r="X1064" s="550"/>
      <c r="Y1064" s="542"/>
      <c r="Z1064" s="548"/>
    </row>
    <row r="1065" spans="1:26" ht="14.25" customHeight="1">
      <c r="A1065" s="491" t="s">
        <v>702</v>
      </c>
      <c r="B1065" s="446" t="s">
        <v>1242</v>
      </c>
      <c r="C1065" s="491" t="s">
        <v>1302</v>
      </c>
      <c r="D1065" s="421" t="s">
        <v>1874</v>
      </c>
      <c r="E1065" s="419"/>
      <c r="F1065" s="419" t="s">
        <v>1875</v>
      </c>
      <c r="G1065" s="419"/>
      <c r="H1065" s="419"/>
      <c r="I1065" s="419"/>
      <c r="J1065" s="419" t="s">
        <v>1449</v>
      </c>
      <c r="K1065" s="419"/>
      <c r="L1065" s="419"/>
      <c r="M1065" s="419"/>
      <c r="N1065" s="419"/>
      <c r="O1065" s="419"/>
      <c r="P1065" s="419" t="s">
        <v>761</v>
      </c>
      <c r="Q1065" s="419"/>
      <c r="R1065" s="430"/>
      <c r="S1065" s="423"/>
      <c r="T1065" s="442"/>
      <c r="U1065" s="424"/>
      <c r="V1065" s="419"/>
      <c r="W1065" s="548"/>
      <c r="X1065" s="550"/>
      <c r="Y1065" s="542"/>
      <c r="Z1065" s="548"/>
    </row>
    <row r="1066" spans="1:26" ht="14.25" customHeight="1">
      <c r="A1066" s="491" t="s">
        <v>702</v>
      </c>
      <c r="B1066" s="446" t="s">
        <v>1242</v>
      </c>
      <c r="C1066" s="491" t="s">
        <v>2902</v>
      </c>
      <c r="D1066" s="547"/>
      <c r="E1066" s="419"/>
      <c r="F1066" s="419"/>
      <c r="G1066" s="419"/>
      <c r="H1066" s="419"/>
      <c r="I1066" s="419"/>
      <c r="J1066" s="419" t="s">
        <v>1449</v>
      </c>
      <c r="K1066" s="419" t="s">
        <v>44</v>
      </c>
      <c r="L1066" s="419" t="s">
        <v>776</v>
      </c>
      <c r="M1066" s="419" t="s">
        <v>45</v>
      </c>
      <c r="N1066" s="419"/>
      <c r="O1066" s="419"/>
      <c r="P1066" s="419" t="s">
        <v>761</v>
      </c>
      <c r="Q1066" s="419" t="s">
        <v>2901</v>
      </c>
      <c r="R1066" s="556"/>
      <c r="S1066" s="549"/>
      <c r="T1066" s="442">
        <v>43633</v>
      </c>
      <c r="U1066" s="424"/>
      <c r="V1066" s="419"/>
      <c r="W1066" s="548"/>
      <c r="X1066" s="550"/>
      <c r="Y1066" s="542"/>
      <c r="Z1066" s="548"/>
    </row>
    <row r="1067" spans="1:26" ht="14.25" customHeight="1">
      <c r="A1067" s="491" t="s">
        <v>702</v>
      </c>
      <c r="B1067" s="446" t="s">
        <v>1242</v>
      </c>
      <c r="C1067" s="491" t="s">
        <v>2468</v>
      </c>
      <c r="D1067" s="421"/>
      <c r="E1067" s="419"/>
      <c r="F1067" s="419"/>
      <c r="G1067" s="419"/>
      <c r="H1067" s="419"/>
      <c r="I1067" s="419"/>
      <c r="J1067" s="419" t="s">
        <v>2715</v>
      </c>
      <c r="K1067" s="419" t="s">
        <v>2677</v>
      </c>
      <c r="L1067" s="419" t="s">
        <v>2677</v>
      </c>
      <c r="M1067" s="419" t="s">
        <v>45</v>
      </c>
      <c r="N1067" s="419"/>
      <c r="O1067" s="419"/>
      <c r="P1067" s="419" t="s">
        <v>1993</v>
      </c>
      <c r="Q1067" s="419"/>
      <c r="R1067" s="430"/>
      <c r="S1067" s="423"/>
      <c r="T1067" s="442"/>
      <c r="U1067" s="424"/>
      <c r="V1067" s="419"/>
      <c r="W1067" s="414"/>
      <c r="X1067" s="550"/>
      <c r="Y1067" s="542"/>
      <c r="Z1067" s="548"/>
    </row>
    <row r="1068" spans="1:26" ht="14.25" customHeight="1">
      <c r="A1068" s="491" t="s">
        <v>702</v>
      </c>
      <c r="B1068" s="446" t="s">
        <v>709</v>
      </c>
      <c r="C1068" s="491" t="s">
        <v>1084</v>
      </c>
      <c r="D1068" s="472" t="s">
        <v>1654</v>
      </c>
      <c r="E1068" s="419"/>
      <c r="F1068" s="419"/>
      <c r="G1068" s="419"/>
      <c r="H1068" s="419"/>
      <c r="I1068" s="419"/>
      <c r="J1068" s="419" t="s">
        <v>798</v>
      </c>
      <c r="K1068" s="419" t="s">
        <v>798</v>
      </c>
      <c r="L1068" s="419" t="s">
        <v>798</v>
      </c>
      <c r="M1068" s="419"/>
      <c r="N1068" s="419"/>
      <c r="O1068" s="419"/>
      <c r="P1068" s="419" t="s">
        <v>799</v>
      </c>
      <c r="Q1068" s="419"/>
      <c r="R1068" s="548"/>
      <c r="S1068" s="548"/>
      <c r="T1068" s="442"/>
      <c r="U1068" s="424"/>
      <c r="V1068" s="419" t="s">
        <v>1085</v>
      </c>
      <c r="W1068" s="414"/>
      <c r="X1068" s="550"/>
      <c r="Y1068" s="542"/>
      <c r="Z1068" s="548"/>
    </row>
    <row r="1069" spans="1:26" ht="14.25" customHeight="1">
      <c r="A1069" s="491" t="s">
        <v>702</v>
      </c>
      <c r="B1069" s="446" t="s">
        <v>709</v>
      </c>
      <c r="C1069" s="491" t="s">
        <v>747</v>
      </c>
      <c r="D1069" s="472" t="s">
        <v>2268</v>
      </c>
      <c r="E1069" s="419" t="s">
        <v>1321</v>
      </c>
      <c r="F1069" s="419">
        <v>0</v>
      </c>
      <c r="G1069" s="419">
        <v>0</v>
      </c>
      <c r="H1069" s="419"/>
      <c r="I1069" s="419" t="s">
        <v>2142</v>
      </c>
      <c r="J1069" s="419" t="s">
        <v>44</v>
      </c>
      <c r="K1069" s="419" t="s">
        <v>44</v>
      </c>
      <c r="L1069" s="419" t="s">
        <v>760</v>
      </c>
      <c r="M1069" s="419" t="s">
        <v>45</v>
      </c>
      <c r="N1069" s="419"/>
      <c r="O1069" s="419"/>
      <c r="P1069" s="419" t="s">
        <v>761</v>
      </c>
      <c r="Q1069" s="419" t="s">
        <v>762</v>
      </c>
      <c r="R1069" s="548"/>
      <c r="S1069" s="548"/>
      <c r="T1069" s="442"/>
      <c r="U1069" s="424" t="s">
        <v>2730</v>
      </c>
      <c r="V1069" s="419"/>
      <c r="W1069" s="414" t="s">
        <v>2269</v>
      </c>
      <c r="X1069" s="550"/>
      <c r="Y1069" s="542"/>
      <c r="Z1069" s="548"/>
    </row>
    <row r="1070" spans="1:26" ht="14.25" customHeight="1">
      <c r="A1070" s="491" t="s">
        <v>702</v>
      </c>
      <c r="B1070" s="446" t="s">
        <v>709</v>
      </c>
      <c r="C1070" s="491" t="s">
        <v>735</v>
      </c>
      <c r="D1070" s="421" t="s">
        <v>2897</v>
      </c>
      <c r="E1070" s="419" t="s">
        <v>1412</v>
      </c>
      <c r="F1070" s="419" t="s">
        <v>1684</v>
      </c>
      <c r="G1070" s="419" t="s">
        <v>1704</v>
      </c>
      <c r="H1070" s="419" t="s">
        <v>42</v>
      </c>
      <c r="I1070" s="419" t="s">
        <v>2727</v>
      </c>
      <c r="J1070" s="419" t="s">
        <v>44</v>
      </c>
      <c r="K1070" s="419" t="s">
        <v>44</v>
      </c>
      <c r="L1070" s="419" t="s">
        <v>44</v>
      </c>
      <c r="M1070" s="419" t="s">
        <v>45</v>
      </c>
      <c r="N1070" s="419">
        <v>23.250678000000001</v>
      </c>
      <c r="O1070" s="419">
        <v>97.124403000000001</v>
      </c>
      <c r="P1070" s="419" t="s">
        <v>761</v>
      </c>
      <c r="Q1070" s="419" t="s">
        <v>780</v>
      </c>
      <c r="R1070" s="430">
        <v>29</v>
      </c>
      <c r="S1070" s="423">
        <v>158</v>
      </c>
      <c r="T1070" s="442"/>
      <c r="U1070" s="424"/>
      <c r="V1070" s="419" t="s">
        <v>735</v>
      </c>
      <c r="W1070" s="414" t="s">
        <v>2212</v>
      </c>
      <c r="X1070" s="550"/>
      <c r="Y1070" s="542"/>
      <c r="Z1070" s="548"/>
    </row>
    <row r="1071" spans="1:26" ht="14.25" customHeight="1">
      <c r="A1071" s="491" t="s">
        <v>702</v>
      </c>
      <c r="B1071" s="446" t="s">
        <v>709</v>
      </c>
      <c r="C1071" s="491" t="s">
        <v>710</v>
      </c>
      <c r="D1071" s="421" t="s">
        <v>2897</v>
      </c>
      <c r="E1071" s="419" t="s">
        <v>1411</v>
      </c>
      <c r="F1071" s="419" t="s">
        <v>1684</v>
      </c>
      <c r="G1071" s="419" t="s">
        <v>1704</v>
      </c>
      <c r="H1071" s="419" t="s">
        <v>42</v>
      </c>
      <c r="I1071" s="419" t="s">
        <v>1320</v>
      </c>
      <c r="J1071" s="419" t="s">
        <v>44</v>
      </c>
      <c r="K1071" s="419" t="s">
        <v>44</v>
      </c>
      <c r="L1071" s="419" t="s">
        <v>44</v>
      </c>
      <c r="M1071" s="419" t="s">
        <v>45</v>
      </c>
      <c r="N1071" s="419">
        <v>23.24661</v>
      </c>
      <c r="O1071" s="419">
        <v>97.116680000000002</v>
      </c>
      <c r="P1071" s="419" t="s">
        <v>761</v>
      </c>
      <c r="Q1071" s="419" t="s">
        <v>780</v>
      </c>
      <c r="R1071" s="430">
        <v>30</v>
      </c>
      <c r="S1071" s="423">
        <v>155</v>
      </c>
      <c r="T1071" s="442"/>
      <c r="U1071" s="424"/>
      <c r="V1071" s="419" t="s">
        <v>710</v>
      </c>
      <c r="W1071" s="414" t="s">
        <v>2213</v>
      </c>
      <c r="X1071" s="550"/>
      <c r="Y1071" s="542"/>
      <c r="Z1071" s="548"/>
    </row>
    <row r="1072" spans="1:26" ht="14.25" customHeight="1">
      <c r="A1072" s="491" t="s">
        <v>702</v>
      </c>
      <c r="B1072" s="446" t="s">
        <v>712</v>
      </c>
      <c r="C1072" s="491" t="s">
        <v>759</v>
      </c>
      <c r="D1072" s="547" t="s">
        <v>1655</v>
      </c>
      <c r="E1072" s="419" t="s">
        <v>1306</v>
      </c>
      <c r="F1072" s="419" t="s">
        <v>1673</v>
      </c>
      <c r="G1072" s="419" t="s">
        <v>1674</v>
      </c>
      <c r="H1072" s="419"/>
      <c r="I1072" s="542">
        <v>0</v>
      </c>
      <c r="J1072" s="419" t="s">
        <v>44</v>
      </c>
      <c r="K1072" s="419" t="s">
        <v>44</v>
      </c>
      <c r="L1072" s="419" t="s">
        <v>760</v>
      </c>
      <c r="M1072" s="419" t="s">
        <v>45</v>
      </c>
      <c r="N1072" s="419"/>
      <c r="O1072" s="419"/>
      <c r="P1072" s="419" t="s">
        <v>761</v>
      </c>
      <c r="Q1072" s="419" t="s">
        <v>762</v>
      </c>
      <c r="R1072" s="556"/>
      <c r="S1072" s="549"/>
      <c r="T1072" s="442">
        <v>42832</v>
      </c>
      <c r="U1072" s="424"/>
      <c r="V1072" s="419"/>
      <c r="W1072" s="414" t="s">
        <v>2214</v>
      </c>
      <c r="X1072" s="550"/>
      <c r="Y1072" s="542"/>
      <c r="Z1072" s="548"/>
    </row>
    <row r="1073" spans="1:26" ht="14.25" customHeight="1">
      <c r="A1073" s="491" t="s">
        <v>702</v>
      </c>
      <c r="B1073" s="446" t="s">
        <v>712</v>
      </c>
      <c r="C1073" s="491" t="s">
        <v>763</v>
      </c>
      <c r="D1073" s="547" t="s">
        <v>1655</v>
      </c>
      <c r="E1073" s="419" t="s">
        <v>1307</v>
      </c>
      <c r="F1073" s="419" t="s">
        <v>1673</v>
      </c>
      <c r="G1073" s="419" t="s">
        <v>1675</v>
      </c>
      <c r="H1073" s="419"/>
      <c r="I1073" s="419">
        <v>0</v>
      </c>
      <c r="J1073" s="419" t="s">
        <v>44</v>
      </c>
      <c r="K1073" s="419" t="s">
        <v>44</v>
      </c>
      <c r="L1073" s="419" t="s">
        <v>760</v>
      </c>
      <c r="M1073" s="419" t="s">
        <v>45</v>
      </c>
      <c r="N1073" s="419"/>
      <c r="O1073" s="419"/>
      <c r="P1073" s="419" t="s">
        <v>761</v>
      </c>
      <c r="Q1073" s="419" t="s">
        <v>762</v>
      </c>
      <c r="R1073" s="556"/>
      <c r="S1073" s="549"/>
      <c r="T1073" s="442"/>
      <c r="U1073" s="424"/>
      <c r="V1073" s="419">
        <v>42920</v>
      </c>
      <c r="W1073" s="414" t="s">
        <v>2214</v>
      </c>
      <c r="X1073" s="550"/>
      <c r="Y1073" s="542"/>
      <c r="Z1073" s="548"/>
    </row>
    <row r="1074" spans="1:26" ht="14.25" customHeight="1">
      <c r="A1074" s="491" t="s">
        <v>702</v>
      </c>
      <c r="B1074" s="446" t="s">
        <v>712</v>
      </c>
      <c r="C1074" s="491" t="s">
        <v>764</v>
      </c>
      <c r="D1074" s="472" t="s">
        <v>1655</v>
      </c>
      <c r="E1074" s="419" t="s">
        <v>1308</v>
      </c>
      <c r="F1074" s="419" t="s">
        <v>1673</v>
      </c>
      <c r="G1074" s="419" t="s">
        <v>1675</v>
      </c>
      <c r="H1074" s="419"/>
      <c r="I1074" s="419">
        <v>0</v>
      </c>
      <c r="J1074" s="419" t="s">
        <v>44</v>
      </c>
      <c r="K1074" s="419" t="s">
        <v>44</v>
      </c>
      <c r="L1074" s="419" t="s">
        <v>760</v>
      </c>
      <c r="M1074" s="419" t="s">
        <v>45</v>
      </c>
      <c r="N1074" s="419"/>
      <c r="O1074" s="419"/>
      <c r="P1074" s="419" t="s">
        <v>761</v>
      </c>
      <c r="Q1074" s="419" t="s">
        <v>762</v>
      </c>
      <c r="R1074" s="548"/>
      <c r="S1074" s="548"/>
      <c r="T1074" s="442"/>
      <c r="U1074" s="424"/>
      <c r="V1074" s="419">
        <v>42920</v>
      </c>
      <c r="W1074" s="414" t="s">
        <v>2214</v>
      </c>
      <c r="X1074" s="550"/>
      <c r="Y1074" s="542"/>
      <c r="Z1074" s="548"/>
    </row>
    <row r="1075" spans="1:26" ht="14.25" customHeight="1">
      <c r="A1075" s="491" t="s">
        <v>702</v>
      </c>
      <c r="B1075" s="446" t="s">
        <v>712</v>
      </c>
      <c r="C1075" s="491" t="s">
        <v>985</v>
      </c>
      <c r="D1075" s="421" t="s">
        <v>1655</v>
      </c>
      <c r="E1075" s="419" t="s">
        <v>1445</v>
      </c>
      <c r="F1075" s="419" t="s">
        <v>1691</v>
      </c>
      <c r="G1075" s="419" t="s">
        <v>1692</v>
      </c>
      <c r="H1075" s="419"/>
      <c r="I1075" s="419">
        <v>0</v>
      </c>
      <c r="J1075" s="419" t="s">
        <v>44</v>
      </c>
      <c r="K1075" s="419" t="s">
        <v>44</v>
      </c>
      <c r="L1075" s="419" t="s">
        <v>760</v>
      </c>
      <c r="M1075" s="419" t="s">
        <v>45</v>
      </c>
      <c r="N1075" s="419">
        <v>23.917631</v>
      </c>
      <c r="O1075" s="419">
        <v>98.116817999999995</v>
      </c>
      <c r="P1075" s="419" t="s">
        <v>761</v>
      </c>
      <c r="Q1075" s="419" t="s">
        <v>762</v>
      </c>
      <c r="R1075" s="430"/>
      <c r="S1075" s="423"/>
      <c r="T1075" s="442">
        <v>42836</v>
      </c>
      <c r="U1075" s="424"/>
      <c r="V1075" s="419"/>
      <c r="W1075" s="414" t="s">
        <v>2215</v>
      </c>
      <c r="X1075" s="550"/>
      <c r="Y1075" s="542"/>
      <c r="Z1075" s="548"/>
    </row>
    <row r="1076" spans="1:26" ht="14.25" customHeight="1">
      <c r="A1076" s="491" t="s">
        <v>702</v>
      </c>
      <c r="B1076" s="446" t="s">
        <v>712</v>
      </c>
      <c r="C1076" s="491" t="s">
        <v>742</v>
      </c>
      <c r="D1076" s="421" t="s">
        <v>2897</v>
      </c>
      <c r="E1076" s="419" t="s">
        <v>1609</v>
      </c>
      <c r="F1076" s="419" t="s">
        <v>1846</v>
      </c>
      <c r="G1076" s="419" t="s">
        <v>742</v>
      </c>
      <c r="H1076" s="419" t="s">
        <v>42</v>
      </c>
      <c r="I1076" s="419" t="s">
        <v>2727</v>
      </c>
      <c r="J1076" s="419" t="s">
        <v>44</v>
      </c>
      <c r="K1076" s="419" t="s">
        <v>44</v>
      </c>
      <c r="L1076" s="419" t="s">
        <v>44</v>
      </c>
      <c r="M1076" s="419" t="s">
        <v>45</v>
      </c>
      <c r="N1076" s="419">
        <v>24.08738</v>
      </c>
      <c r="O1076" s="419">
        <v>98.115809999999996</v>
      </c>
      <c r="P1076" s="419" t="s">
        <v>761</v>
      </c>
      <c r="Q1076" s="419" t="s">
        <v>802</v>
      </c>
      <c r="R1076" s="430">
        <v>152</v>
      </c>
      <c r="S1076" s="423">
        <v>788</v>
      </c>
      <c r="T1076" s="442" t="s">
        <v>1083</v>
      </c>
      <c r="U1076" s="424"/>
      <c r="V1076" s="419"/>
      <c r="W1076" s="414" t="s">
        <v>2199</v>
      </c>
      <c r="X1076" s="550"/>
      <c r="Y1076" s="542"/>
      <c r="Z1076" s="548"/>
    </row>
    <row r="1077" spans="1:26" ht="14.25" customHeight="1">
      <c r="A1077" s="491" t="s">
        <v>702</v>
      </c>
      <c r="B1077" s="446" t="s">
        <v>712</v>
      </c>
      <c r="C1077" s="491" t="s">
        <v>746</v>
      </c>
      <c r="D1077" s="421" t="s">
        <v>1732</v>
      </c>
      <c r="E1077" s="419" t="s">
        <v>1456</v>
      </c>
      <c r="F1077" s="419" t="s">
        <v>742</v>
      </c>
      <c r="G1077" s="419" t="s">
        <v>742</v>
      </c>
      <c r="H1077" s="419"/>
      <c r="I1077" s="419">
        <v>0</v>
      </c>
      <c r="J1077" s="419" t="s">
        <v>44</v>
      </c>
      <c r="K1077" s="419" t="s">
        <v>44</v>
      </c>
      <c r="L1077" s="419" t="s">
        <v>760</v>
      </c>
      <c r="M1077" s="419" t="s">
        <v>45</v>
      </c>
      <c r="N1077" s="419">
        <v>24.08738</v>
      </c>
      <c r="O1077" s="419">
        <v>98.115809999999996</v>
      </c>
      <c r="P1077" s="419" t="s">
        <v>761</v>
      </c>
      <c r="Q1077" s="419" t="s">
        <v>780</v>
      </c>
      <c r="R1077" s="430"/>
      <c r="S1077" s="423"/>
      <c r="T1077" s="442">
        <v>43276</v>
      </c>
      <c r="U1077" s="424" t="s">
        <v>1986</v>
      </c>
      <c r="V1077" s="419" t="s">
        <v>746</v>
      </c>
      <c r="W1077" s="414" t="s">
        <v>1986</v>
      </c>
      <c r="X1077" s="550"/>
      <c r="Y1077" s="542"/>
      <c r="Z1077" s="548"/>
    </row>
    <row r="1078" spans="1:26" ht="14.25" customHeight="1">
      <c r="A1078" s="491" t="s">
        <v>702</v>
      </c>
      <c r="B1078" s="446" t="s">
        <v>712</v>
      </c>
      <c r="C1078" s="491" t="s">
        <v>753</v>
      </c>
      <c r="D1078" s="421" t="s">
        <v>1655</v>
      </c>
      <c r="E1078" s="419" t="s">
        <v>1315</v>
      </c>
      <c r="F1078" s="419">
        <v>0</v>
      </c>
      <c r="G1078" s="419">
        <v>0</v>
      </c>
      <c r="H1078" s="419"/>
      <c r="I1078" s="419">
        <v>0</v>
      </c>
      <c r="J1078" s="419" t="s">
        <v>44</v>
      </c>
      <c r="K1078" s="419" t="s">
        <v>44</v>
      </c>
      <c r="L1078" s="419" t="s">
        <v>760</v>
      </c>
      <c r="M1078" s="419" t="s">
        <v>45</v>
      </c>
      <c r="N1078" s="419"/>
      <c r="O1078" s="419"/>
      <c r="P1078" s="419" t="s">
        <v>761</v>
      </c>
      <c r="Q1078" s="419" t="s">
        <v>762</v>
      </c>
      <c r="R1078" s="430"/>
      <c r="S1078" s="423"/>
      <c r="T1078" s="442"/>
      <c r="U1078" s="424"/>
      <c r="V1078" s="419">
        <v>42920</v>
      </c>
      <c r="W1078" s="414" t="s">
        <v>2214</v>
      </c>
      <c r="X1078" s="550"/>
      <c r="Y1078" s="542"/>
      <c r="Z1078" s="548"/>
    </row>
    <row r="1079" spans="1:26" ht="14.25" customHeight="1">
      <c r="A1079" s="491" t="s">
        <v>702</v>
      </c>
      <c r="B1079" s="446" t="s">
        <v>712</v>
      </c>
      <c r="C1079" s="491" t="s">
        <v>770</v>
      </c>
      <c r="D1079" s="547" t="s">
        <v>1655</v>
      </c>
      <c r="E1079" s="419" t="s">
        <v>1316</v>
      </c>
      <c r="F1079" s="419" t="s">
        <v>1673</v>
      </c>
      <c r="G1079" s="419" t="s">
        <v>1675</v>
      </c>
      <c r="H1079" s="419"/>
      <c r="I1079" s="542">
        <v>0</v>
      </c>
      <c r="J1079" s="419" t="s">
        <v>44</v>
      </c>
      <c r="K1079" s="419" t="s">
        <v>44</v>
      </c>
      <c r="L1079" s="419" t="s">
        <v>760</v>
      </c>
      <c r="M1079" s="419" t="s">
        <v>45</v>
      </c>
      <c r="N1079" s="419"/>
      <c r="O1079" s="419"/>
      <c r="P1079" s="419" t="s">
        <v>761</v>
      </c>
      <c r="Q1079" s="419" t="s">
        <v>762</v>
      </c>
      <c r="R1079" s="556"/>
      <c r="S1079" s="549"/>
      <c r="T1079" s="442"/>
      <c r="U1079" s="424"/>
      <c r="V1079" s="419">
        <v>42920</v>
      </c>
      <c r="W1079" s="414" t="s">
        <v>2214</v>
      </c>
      <c r="X1079" s="550"/>
      <c r="Y1079" s="542"/>
      <c r="Z1079" s="548"/>
    </row>
    <row r="1080" spans="1:26" ht="14.25" customHeight="1">
      <c r="A1080" s="491" t="s">
        <v>702</v>
      </c>
      <c r="B1080" s="446" t="s">
        <v>712</v>
      </c>
      <c r="C1080" s="491" t="s">
        <v>993</v>
      </c>
      <c r="D1080" s="472" t="s">
        <v>1654</v>
      </c>
      <c r="E1080" s="419" t="s">
        <v>1457</v>
      </c>
      <c r="F1080" s="419"/>
      <c r="G1080" s="419"/>
      <c r="H1080" s="419" t="s">
        <v>42</v>
      </c>
      <c r="I1080" s="546" t="s">
        <v>135</v>
      </c>
      <c r="J1080" s="419" t="s">
        <v>44</v>
      </c>
      <c r="K1080" s="419" t="s">
        <v>44</v>
      </c>
      <c r="L1080" s="419" t="s">
        <v>760</v>
      </c>
      <c r="M1080" s="419" t="s">
        <v>778</v>
      </c>
      <c r="N1080" s="419">
        <v>24.101320999999999</v>
      </c>
      <c r="O1080" s="419">
        <v>98.320651999999995</v>
      </c>
      <c r="P1080" s="419" t="s">
        <v>761</v>
      </c>
      <c r="Q1080" s="419"/>
      <c r="R1080" s="548"/>
      <c r="S1080" s="548"/>
      <c r="T1080" s="442"/>
      <c r="U1080" s="424"/>
      <c r="V1080" s="419" t="s">
        <v>994</v>
      </c>
      <c r="W1080" s="414" t="s">
        <v>2216</v>
      </c>
      <c r="X1080" s="550"/>
      <c r="Y1080" s="542"/>
      <c r="Z1080" s="548"/>
    </row>
    <row r="1081" spans="1:26" ht="14.25" customHeight="1">
      <c r="A1081" s="491" t="s">
        <v>702</v>
      </c>
      <c r="B1081" s="446" t="s">
        <v>712</v>
      </c>
      <c r="C1081" s="491" t="s">
        <v>992</v>
      </c>
      <c r="D1081" s="472" t="s">
        <v>1655</v>
      </c>
      <c r="E1081" s="419" t="s">
        <v>1454</v>
      </c>
      <c r="F1081" s="419" t="s">
        <v>992</v>
      </c>
      <c r="G1081" s="419" t="s">
        <v>992</v>
      </c>
      <c r="H1081" s="419"/>
      <c r="I1081" s="419">
        <v>0</v>
      </c>
      <c r="J1081" s="419" t="s">
        <v>44</v>
      </c>
      <c r="K1081" s="419" t="s">
        <v>44</v>
      </c>
      <c r="L1081" s="419" t="s">
        <v>760</v>
      </c>
      <c r="M1081" s="419" t="s">
        <v>778</v>
      </c>
      <c r="N1081" s="419">
        <v>24.008452999999999</v>
      </c>
      <c r="O1081" s="419">
        <v>98.054946000000001</v>
      </c>
      <c r="P1081" s="419" t="s">
        <v>761</v>
      </c>
      <c r="Q1081" s="419" t="s">
        <v>780</v>
      </c>
      <c r="R1081" s="422"/>
      <c r="S1081" s="422"/>
      <c r="T1081" s="442"/>
      <c r="U1081" s="424"/>
      <c r="V1081" s="419" t="s">
        <v>992</v>
      </c>
      <c r="W1081" s="414" t="s">
        <v>2217</v>
      </c>
      <c r="X1081" s="550"/>
      <c r="Y1081" s="542"/>
      <c r="Z1081" s="548"/>
    </row>
    <row r="1082" spans="1:26" ht="14.25" customHeight="1">
      <c r="A1082" s="491" t="s">
        <v>702</v>
      </c>
      <c r="B1082" s="446" t="s">
        <v>712</v>
      </c>
      <c r="C1082" s="491" t="s">
        <v>737</v>
      </c>
      <c r="D1082" s="547" t="s">
        <v>2897</v>
      </c>
      <c r="E1082" s="419" t="s">
        <v>1452</v>
      </c>
      <c r="F1082" s="419" t="s">
        <v>1673</v>
      </c>
      <c r="G1082" s="419" t="s">
        <v>1675</v>
      </c>
      <c r="H1082" s="419"/>
      <c r="I1082" s="419" t="s">
        <v>2142</v>
      </c>
      <c r="J1082" s="419" t="s">
        <v>44</v>
      </c>
      <c r="K1082" s="419" t="s">
        <v>44</v>
      </c>
      <c r="L1082" s="419" t="s">
        <v>776</v>
      </c>
      <c r="M1082" s="419" t="s">
        <v>45</v>
      </c>
      <c r="N1082" s="419">
        <v>24.006319999999999</v>
      </c>
      <c r="O1082" s="419">
        <v>97.909400000000005</v>
      </c>
      <c r="P1082" s="419" t="s">
        <v>761</v>
      </c>
      <c r="Q1082" s="419" t="s">
        <v>780</v>
      </c>
      <c r="R1082" s="556">
        <v>40</v>
      </c>
      <c r="S1082" s="549">
        <v>180</v>
      </c>
      <c r="T1082" s="442"/>
      <c r="U1082" s="424"/>
      <c r="V1082" s="419" t="s">
        <v>990</v>
      </c>
      <c r="W1082" s="548" t="s">
        <v>2218</v>
      </c>
      <c r="X1082" s="550"/>
      <c r="Y1082" s="542"/>
      <c r="Z1082" s="548"/>
    </row>
    <row r="1083" spans="1:26" ht="14.25" customHeight="1">
      <c r="A1083" s="491" t="s">
        <v>702</v>
      </c>
      <c r="B1083" s="446" t="s">
        <v>712</v>
      </c>
      <c r="C1083" s="491" t="s">
        <v>713</v>
      </c>
      <c r="D1083" s="547" t="s">
        <v>2897</v>
      </c>
      <c r="E1083" s="419" t="s">
        <v>1453</v>
      </c>
      <c r="F1083" s="419" t="s">
        <v>1673</v>
      </c>
      <c r="G1083" s="419" t="s">
        <v>1675</v>
      </c>
      <c r="H1083" s="419" t="s">
        <v>42</v>
      </c>
      <c r="I1083" s="419" t="s">
        <v>1320</v>
      </c>
      <c r="J1083" s="419" t="s">
        <v>44</v>
      </c>
      <c r="K1083" s="419" t="s">
        <v>44</v>
      </c>
      <c r="L1083" s="419" t="s">
        <v>44</v>
      </c>
      <c r="M1083" s="419" t="s">
        <v>45</v>
      </c>
      <c r="N1083" s="419">
        <v>24.006789000000001</v>
      </c>
      <c r="O1083" s="419">
        <v>97.911647000000002</v>
      </c>
      <c r="P1083" s="419" t="s">
        <v>761</v>
      </c>
      <c r="Q1083" s="419" t="s">
        <v>780</v>
      </c>
      <c r="R1083" s="556">
        <v>17</v>
      </c>
      <c r="S1083" s="549">
        <v>80</v>
      </c>
      <c r="T1083" s="442"/>
      <c r="U1083" s="424"/>
      <c r="V1083" s="419" t="s">
        <v>991</v>
      </c>
      <c r="W1083" s="414" t="s">
        <v>2219</v>
      </c>
      <c r="X1083" s="550"/>
      <c r="Y1083" s="542"/>
      <c r="Z1083" s="548"/>
    </row>
    <row r="1084" spans="1:26" ht="14.25" customHeight="1">
      <c r="A1084" s="491" t="s">
        <v>702</v>
      </c>
      <c r="B1084" s="446" t="s">
        <v>712</v>
      </c>
      <c r="C1084" s="491" t="s">
        <v>717</v>
      </c>
      <c r="D1084" s="547" t="s">
        <v>1655</v>
      </c>
      <c r="E1084" s="419" t="s">
        <v>1324</v>
      </c>
      <c r="F1084" s="419" t="s">
        <v>1656</v>
      </c>
      <c r="G1084" s="419" t="s">
        <v>1657</v>
      </c>
      <c r="H1084" s="419"/>
      <c r="I1084" s="419">
        <v>0</v>
      </c>
      <c r="J1084" s="419" t="s">
        <v>44</v>
      </c>
      <c r="K1084" s="419" t="s">
        <v>44</v>
      </c>
      <c r="L1084" s="419" t="s">
        <v>760</v>
      </c>
      <c r="M1084" s="419" t="s">
        <v>778</v>
      </c>
      <c r="N1084" s="419">
        <v>23.933098999999999</v>
      </c>
      <c r="O1084" s="419">
        <v>98.139397000000002</v>
      </c>
      <c r="P1084" s="419" t="s">
        <v>761</v>
      </c>
      <c r="Q1084" s="419" t="s">
        <v>780</v>
      </c>
      <c r="R1084" s="556"/>
      <c r="S1084" s="549"/>
      <c r="T1084" s="442"/>
      <c r="U1084" s="424"/>
      <c r="V1084" s="419" t="s">
        <v>717</v>
      </c>
      <c r="W1084" s="414" t="s">
        <v>2220</v>
      </c>
      <c r="X1084" s="550"/>
      <c r="Y1084" s="542"/>
      <c r="Z1084" s="548"/>
    </row>
    <row r="1085" spans="1:26" ht="14.25" customHeight="1">
      <c r="A1085" s="491" t="s">
        <v>702</v>
      </c>
      <c r="B1085" s="446" t="s">
        <v>712</v>
      </c>
      <c r="C1085" s="491" t="s">
        <v>986</v>
      </c>
      <c r="D1085" s="421" t="s">
        <v>1655</v>
      </c>
      <c r="E1085" s="419" t="s">
        <v>1448</v>
      </c>
      <c r="F1085" s="419" t="s">
        <v>1693</v>
      </c>
      <c r="G1085" s="419" t="s">
        <v>1694</v>
      </c>
      <c r="H1085" s="419"/>
      <c r="I1085" s="419">
        <v>0</v>
      </c>
      <c r="J1085" s="419" t="s">
        <v>44</v>
      </c>
      <c r="K1085" s="419" t="s">
        <v>44</v>
      </c>
      <c r="L1085" s="419" t="s">
        <v>760</v>
      </c>
      <c r="M1085" s="419" t="s">
        <v>45</v>
      </c>
      <c r="N1085" s="419">
        <v>23.978088</v>
      </c>
      <c r="O1085" s="419">
        <v>98.129380999999995</v>
      </c>
      <c r="P1085" s="419" t="s">
        <v>761</v>
      </c>
      <c r="Q1085" s="419" t="s">
        <v>762</v>
      </c>
      <c r="R1085" s="430"/>
      <c r="S1085" s="423"/>
      <c r="T1085" s="442">
        <v>42836</v>
      </c>
      <c r="U1085" s="424"/>
      <c r="V1085" s="419"/>
      <c r="W1085" s="414" t="s">
        <v>2215</v>
      </c>
      <c r="X1085" s="550"/>
      <c r="Y1085" s="542"/>
      <c r="Z1085" s="548"/>
    </row>
    <row r="1086" spans="1:26" ht="14.25" customHeight="1">
      <c r="A1086" s="491" t="s">
        <v>702</v>
      </c>
      <c r="B1086" s="446" t="s">
        <v>712</v>
      </c>
      <c r="C1086" s="491" t="s">
        <v>782</v>
      </c>
      <c r="D1086" s="547" t="s">
        <v>1655</v>
      </c>
      <c r="E1086" s="419" t="s">
        <v>1326</v>
      </c>
      <c r="F1086" s="419" t="s">
        <v>1679</v>
      </c>
      <c r="G1086" s="419" t="s">
        <v>1680</v>
      </c>
      <c r="H1086" s="419"/>
      <c r="I1086" s="419">
        <v>0</v>
      </c>
      <c r="J1086" s="419" t="s">
        <v>44</v>
      </c>
      <c r="K1086" s="419" t="s">
        <v>44</v>
      </c>
      <c r="L1086" s="419" t="s">
        <v>760</v>
      </c>
      <c r="M1086" s="419" t="s">
        <v>45</v>
      </c>
      <c r="N1086" s="419"/>
      <c r="O1086" s="419"/>
      <c r="P1086" s="419" t="s">
        <v>761</v>
      </c>
      <c r="Q1086" s="419" t="s">
        <v>762</v>
      </c>
      <c r="R1086" s="556"/>
      <c r="S1086" s="549"/>
      <c r="T1086" s="442">
        <v>42832</v>
      </c>
      <c r="U1086" s="424"/>
      <c r="V1086" s="419"/>
      <c r="W1086" s="414" t="s">
        <v>2214</v>
      </c>
      <c r="X1086" s="550"/>
      <c r="Y1086" s="542"/>
      <c r="Z1086" s="548"/>
    </row>
    <row r="1087" spans="1:26" ht="14.25" customHeight="1">
      <c r="A1087" s="491" t="s">
        <v>702</v>
      </c>
      <c r="B1087" s="446" t="s">
        <v>712</v>
      </c>
      <c r="C1087" s="491" t="s">
        <v>790</v>
      </c>
      <c r="D1087" s="472" t="s">
        <v>1655</v>
      </c>
      <c r="E1087" s="419" t="s">
        <v>1331</v>
      </c>
      <c r="F1087" s="419" t="s">
        <v>1673</v>
      </c>
      <c r="G1087" s="419" t="s">
        <v>1675</v>
      </c>
      <c r="H1087" s="419"/>
      <c r="I1087" s="546">
        <v>0</v>
      </c>
      <c r="J1087" s="419" t="s">
        <v>44</v>
      </c>
      <c r="K1087" s="419" t="s">
        <v>44</v>
      </c>
      <c r="L1087" s="419" t="s">
        <v>760</v>
      </c>
      <c r="M1087" s="419" t="s">
        <v>45</v>
      </c>
      <c r="N1087" s="419"/>
      <c r="O1087" s="419"/>
      <c r="P1087" s="419" t="s">
        <v>761</v>
      </c>
      <c r="Q1087" s="419" t="s">
        <v>762</v>
      </c>
      <c r="R1087" s="422"/>
      <c r="S1087" s="422"/>
      <c r="T1087" s="442">
        <v>42832</v>
      </c>
      <c r="U1087" s="424"/>
      <c r="V1087" s="419"/>
      <c r="W1087" s="414" t="s">
        <v>2214</v>
      </c>
      <c r="X1087" s="550"/>
      <c r="Y1087" s="542"/>
      <c r="Z1087" s="548"/>
    </row>
    <row r="1088" spans="1:26" ht="14.25" customHeight="1">
      <c r="A1088" s="491" t="s">
        <v>702</v>
      </c>
      <c r="B1088" s="446" t="s">
        <v>712</v>
      </c>
      <c r="C1088" s="491" t="s">
        <v>792</v>
      </c>
      <c r="D1088" s="421" t="s">
        <v>1655</v>
      </c>
      <c r="E1088" s="419" t="s">
        <v>1333</v>
      </c>
      <c r="F1088" s="419">
        <v>0</v>
      </c>
      <c r="G1088" s="419">
        <v>0</v>
      </c>
      <c r="H1088" s="419"/>
      <c r="I1088" s="419">
        <v>0</v>
      </c>
      <c r="J1088" s="419" t="s">
        <v>44</v>
      </c>
      <c r="K1088" s="419" t="s">
        <v>44</v>
      </c>
      <c r="L1088" s="419" t="s">
        <v>760</v>
      </c>
      <c r="M1088" s="419" t="s">
        <v>45</v>
      </c>
      <c r="N1088" s="419"/>
      <c r="O1088" s="419"/>
      <c r="P1088" s="419" t="s">
        <v>761</v>
      </c>
      <c r="Q1088" s="419" t="s">
        <v>762</v>
      </c>
      <c r="R1088" s="430"/>
      <c r="S1088" s="423"/>
      <c r="T1088" s="442">
        <v>42832</v>
      </c>
      <c r="U1088" s="424"/>
      <c r="V1088" s="419"/>
      <c r="W1088" s="414" t="s">
        <v>2214</v>
      </c>
      <c r="X1088" s="550"/>
      <c r="Y1088" s="542"/>
      <c r="Z1088" s="548"/>
    </row>
    <row r="1089" spans="1:26" ht="14.25" customHeight="1">
      <c r="A1089" s="491" t="s">
        <v>702</v>
      </c>
      <c r="B1089" s="446" t="s">
        <v>703</v>
      </c>
      <c r="C1089" s="491" t="s">
        <v>748</v>
      </c>
      <c r="D1089" s="472" t="s">
        <v>2897</v>
      </c>
      <c r="E1089" s="419" t="s">
        <v>1426</v>
      </c>
      <c r="F1089" s="419" t="s">
        <v>1688</v>
      </c>
      <c r="G1089" s="419" t="s">
        <v>1688</v>
      </c>
      <c r="H1089" s="419"/>
      <c r="I1089" s="419" t="s">
        <v>2142</v>
      </c>
      <c r="J1089" s="419" t="s">
        <v>44</v>
      </c>
      <c r="K1089" s="419" t="s">
        <v>44</v>
      </c>
      <c r="L1089" s="419" t="s">
        <v>776</v>
      </c>
      <c r="M1089" s="419" t="s">
        <v>45</v>
      </c>
      <c r="N1089" s="419">
        <v>23.611999999999998</v>
      </c>
      <c r="O1089" s="419">
        <v>97.506</v>
      </c>
      <c r="P1089" s="419" t="s">
        <v>761</v>
      </c>
      <c r="Q1089" s="419" t="s">
        <v>762</v>
      </c>
      <c r="R1089" s="422">
        <v>62</v>
      </c>
      <c r="S1089" s="422">
        <v>328</v>
      </c>
      <c r="T1089" s="442"/>
      <c r="U1089" s="424" t="s">
        <v>973</v>
      </c>
      <c r="V1089" s="419"/>
      <c r="W1089" s="414" t="s">
        <v>2221</v>
      </c>
      <c r="X1089" s="550"/>
      <c r="Y1089" s="542"/>
      <c r="Z1089" s="548"/>
    </row>
    <row r="1090" spans="1:26" ht="14.25" customHeight="1">
      <c r="A1090" s="491" t="s">
        <v>702</v>
      </c>
      <c r="B1090" s="446" t="s">
        <v>703</v>
      </c>
      <c r="C1090" s="491" t="s">
        <v>974</v>
      </c>
      <c r="D1090" s="472" t="s">
        <v>1655</v>
      </c>
      <c r="E1090" s="419" t="s">
        <v>1427</v>
      </c>
      <c r="F1090" s="419" t="s">
        <v>1688</v>
      </c>
      <c r="G1090" s="419" t="s">
        <v>1688</v>
      </c>
      <c r="H1090" s="419"/>
      <c r="I1090" s="419">
        <v>0</v>
      </c>
      <c r="J1090" s="419" t="s">
        <v>44</v>
      </c>
      <c r="K1090" s="419" t="s">
        <v>44</v>
      </c>
      <c r="L1090" s="419" t="s">
        <v>760</v>
      </c>
      <c r="M1090" s="419" t="s">
        <v>45</v>
      </c>
      <c r="N1090" s="419">
        <v>23.611999999999998</v>
      </c>
      <c r="O1090" s="419">
        <v>97.504999999999995</v>
      </c>
      <c r="P1090" s="419" t="s">
        <v>761</v>
      </c>
      <c r="Q1090" s="419" t="s">
        <v>762</v>
      </c>
      <c r="R1090" s="548"/>
      <c r="S1090" s="548"/>
      <c r="T1090" s="442"/>
      <c r="U1090" s="424"/>
      <c r="V1090" s="419"/>
      <c r="W1090" s="414" t="s">
        <v>2222</v>
      </c>
      <c r="X1090" s="550"/>
      <c r="Y1090" s="542"/>
      <c r="Z1090" s="548"/>
    </row>
    <row r="1091" spans="1:26" ht="14.25" customHeight="1">
      <c r="A1091" s="491" t="s">
        <v>702</v>
      </c>
      <c r="B1091" s="446" t="s">
        <v>703</v>
      </c>
      <c r="C1091" s="491" t="s">
        <v>714</v>
      </c>
      <c r="D1091" s="472" t="s">
        <v>2897</v>
      </c>
      <c r="E1091" s="419" t="s">
        <v>1432</v>
      </c>
      <c r="F1091" s="542" t="s">
        <v>1677</v>
      </c>
      <c r="G1091" s="419" t="s">
        <v>1677</v>
      </c>
      <c r="H1091" s="419" t="s">
        <v>42</v>
      </c>
      <c r="I1091" s="419" t="s">
        <v>2727</v>
      </c>
      <c r="J1091" s="419" t="s">
        <v>44</v>
      </c>
      <c r="K1091" s="419" t="s">
        <v>44</v>
      </c>
      <c r="L1091" s="419" t="s">
        <v>44</v>
      </c>
      <c r="M1091" s="419" t="s">
        <v>45</v>
      </c>
      <c r="N1091" s="419">
        <v>23.821380000000001</v>
      </c>
      <c r="O1091" s="419">
        <v>97.681970000000007</v>
      </c>
      <c r="P1091" s="419" t="s">
        <v>761</v>
      </c>
      <c r="Q1091" s="419" t="s">
        <v>780</v>
      </c>
      <c r="R1091" s="422">
        <v>76</v>
      </c>
      <c r="S1091" s="422">
        <v>385</v>
      </c>
      <c r="T1091" s="442"/>
      <c r="U1091" s="424"/>
      <c r="V1091" s="419" t="s">
        <v>714</v>
      </c>
      <c r="W1091" s="414" t="s">
        <v>2223</v>
      </c>
      <c r="X1091" s="550"/>
      <c r="Y1091" s="542"/>
      <c r="Z1091" s="548"/>
    </row>
    <row r="1092" spans="1:26" ht="14.25" customHeight="1">
      <c r="A1092" s="491" t="s">
        <v>702</v>
      </c>
      <c r="B1092" s="446" t="s">
        <v>703</v>
      </c>
      <c r="C1092" s="491" t="s">
        <v>750</v>
      </c>
      <c r="D1092" s="472" t="s">
        <v>2897</v>
      </c>
      <c r="E1092" s="419" t="s">
        <v>1435</v>
      </c>
      <c r="F1092" s="419" t="s">
        <v>1677</v>
      </c>
      <c r="G1092" s="419" t="s">
        <v>1677</v>
      </c>
      <c r="H1092" s="419" t="s">
        <v>42</v>
      </c>
      <c r="I1092" s="419" t="s">
        <v>2727</v>
      </c>
      <c r="J1092" s="419" t="s">
        <v>44</v>
      </c>
      <c r="K1092" s="419" t="s">
        <v>44</v>
      </c>
      <c r="L1092" s="419" t="s">
        <v>44</v>
      </c>
      <c r="M1092" s="419" t="s">
        <v>45</v>
      </c>
      <c r="N1092" s="419">
        <v>23.828520000000001</v>
      </c>
      <c r="O1092" s="419">
        <v>97.669557999999995</v>
      </c>
      <c r="P1092" s="419" t="s">
        <v>761</v>
      </c>
      <c r="Q1092" s="419" t="s">
        <v>780</v>
      </c>
      <c r="R1092" s="548">
        <v>64</v>
      </c>
      <c r="S1092" s="548">
        <v>349</v>
      </c>
      <c r="T1092" s="442"/>
      <c r="U1092" s="424"/>
      <c r="V1092" s="419" t="s">
        <v>750</v>
      </c>
      <c r="W1092" s="414" t="s">
        <v>2224</v>
      </c>
      <c r="X1092" s="550"/>
      <c r="Y1092" s="542"/>
      <c r="Z1092" s="548"/>
    </row>
    <row r="1093" spans="1:26" ht="14.25" customHeight="1">
      <c r="A1093" s="491" t="s">
        <v>702</v>
      </c>
      <c r="B1093" s="446" t="s">
        <v>703</v>
      </c>
      <c r="C1093" s="491" t="s">
        <v>738</v>
      </c>
      <c r="D1093" s="421" t="s">
        <v>2897</v>
      </c>
      <c r="E1093" s="419" t="s">
        <v>1441</v>
      </c>
      <c r="F1093" s="419" t="s">
        <v>1677</v>
      </c>
      <c r="G1093" s="419" t="s">
        <v>1677</v>
      </c>
      <c r="H1093" s="419" t="s">
        <v>42</v>
      </c>
      <c r="I1093" s="419" t="s">
        <v>2727</v>
      </c>
      <c r="J1093" s="419" t="s">
        <v>44</v>
      </c>
      <c r="K1093" s="419" t="s">
        <v>44</v>
      </c>
      <c r="L1093" s="419" t="s">
        <v>44</v>
      </c>
      <c r="M1093" s="419" t="s">
        <v>45</v>
      </c>
      <c r="N1093" s="419">
        <v>23.841646999999998</v>
      </c>
      <c r="O1093" s="419">
        <v>97.700940000000003</v>
      </c>
      <c r="P1093" s="419" t="s">
        <v>761</v>
      </c>
      <c r="Q1093" s="419" t="s">
        <v>780</v>
      </c>
      <c r="R1093" s="430">
        <v>36</v>
      </c>
      <c r="S1093" s="423">
        <v>193</v>
      </c>
      <c r="T1093" s="442"/>
      <c r="U1093" s="424"/>
      <c r="V1093" s="419" t="s">
        <v>981</v>
      </c>
      <c r="W1093" s="548" t="s">
        <v>2225</v>
      </c>
      <c r="X1093" s="550"/>
      <c r="Y1093" s="542"/>
      <c r="Z1093" s="548"/>
    </row>
    <row r="1094" spans="1:26" ht="14.25" customHeight="1">
      <c r="A1094" s="491" t="s">
        <v>702</v>
      </c>
      <c r="B1094" s="446" t="s">
        <v>703</v>
      </c>
      <c r="C1094" s="491" t="s">
        <v>704</v>
      </c>
      <c r="D1094" s="472" t="s">
        <v>2897</v>
      </c>
      <c r="E1094" s="419" t="s">
        <v>1434</v>
      </c>
      <c r="F1094" s="419" t="s">
        <v>1677</v>
      </c>
      <c r="G1094" s="419" t="s">
        <v>1677</v>
      </c>
      <c r="H1094" s="419" t="s">
        <v>42</v>
      </c>
      <c r="I1094" s="419" t="s">
        <v>1320</v>
      </c>
      <c r="J1094" s="419" t="s">
        <v>44</v>
      </c>
      <c r="K1094" s="419" t="s">
        <v>44</v>
      </c>
      <c r="L1094" s="419" t="s">
        <v>44</v>
      </c>
      <c r="M1094" s="419" t="s">
        <v>45</v>
      </c>
      <c r="N1094" s="419">
        <v>23.828150000000001</v>
      </c>
      <c r="O1094" s="419">
        <v>97.670360000000002</v>
      </c>
      <c r="P1094" s="419" t="s">
        <v>761</v>
      </c>
      <c r="Q1094" s="419" t="s">
        <v>780</v>
      </c>
      <c r="R1094" s="548">
        <v>43</v>
      </c>
      <c r="S1094" s="548">
        <v>218</v>
      </c>
      <c r="T1094" s="442"/>
      <c r="U1094" s="424"/>
      <c r="V1094" s="419" t="s">
        <v>704</v>
      </c>
      <c r="W1094" s="414" t="s">
        <v>2226</v>
      </c>
      <c r="X1094" s="550"/>
      <c r="Y1094" s="542"/>
      <c r="Z1094" s="548"/>
    </row>
    <row r="1095" spans="1:26" ht="14.25" customHeight="1">
      <c r="A1095" s="491" t="s">
        <v>702</v>
      </c>
      <c r="B1095" s="446" t="s">
        <v>703</v>
      </c>
      <c r="C1095" s="491" t="s">
        <v>779</v>
      </c>
      <c r="D1095" s="472" t="s">
        <v>1655</v>
      </c>
      <c r="E1095" s="419" t="s">
        <v>1323</v>
      </c>
      <c r="F1095" s="419" t="s">
        <v>1677</v>
      </c>
      <c r="G1095" s="419" t="s">
        <v>1677</v>
      </c>
      <c r="H1095" s="419"/>
      <c r="I1095" s="419">
        <v>0</v>
      </c>
      <c r="J1095" s="419" t="s">
        <v>44</v>
      </c>
      <c r="K1095" s="419" t="s">
        <v>44</v>
      </c>
      <c r="L1095" s="419" t="s">
        <v>760</v>
      </c>
      <c r="M1095" s="419" t="s">
        <v>778</v>
      </c>
      <c r="N1095" s="419"/>
      <c r="O1095" s="419"/>
      <c r="P1095" s="419" t="s">
        <v>761</v>
      </c>
      <c r="Q1095" s="419"/>
      <c r="R1095" s="548"/>
      <c r="S1095" s="548"/>
      <c r="T1095" s="442"/>
      <c r="U1095" s="424"/>
      <c r="V1095" s="419" t="s">
        <v>779</v>
      </c>
      <c r="W1095" s="414" t="s">
        <v>2227</v>
      </c>
      <c r="X1095" s="550"/>
      <c r="Y1095" s="542"/>
      <c r="Z1095" s="548"/>
    </row>
    <row r="1096" spans="1:26" ht="14.25" customHeight="1">
      <c r="A1096" s="553" t="s">
        <v>702</v>
      </c>
      <c r="B1096" s="446" t="s">
        <v>703</v>
      </c>
      <c r="C1096" s="491" t="s">
        <v>740</v>
      </c>
      <c r="D1096" s="547" t="s">
        <v>2897</v>
      </c>
      <c r="E1096" s="419" t="s">
        <v>1440</v>
      </c>
      <c r="F1096" s="419" t="s">
        <v>1768</v>
      </c>
      <c r="G1096" s="419" t="s">
        <v>1757</v>
      </c>
      <c r="H1096" s="419" t="s">
        <v>42</v>
      </c>
      <c r="I1096" s="542" t="s">
        <v>2727</v>
      </c>
      <c r="J1096" s="419" t="s">
        <v>44</v>
      </c>
      <c r="K1096" s="419" t="s">
        <v>44</v>
      </c>
      <c r="L1096" s="419" t="s">
        <v>44</v>
      </c>
      <c r="M1096" s="419" t="s">
        <v>45</v>
      </c>
      <c r="N1096" s="419">
        <v>23.838190000000001</v>
      </c>
      <c r="O1096" s="419">
        <v>97.709879999999998</v>
      </c>
      <c r="P1096" s="419" t="s">
        <v>761</v>
      </c>
      <c r="Q1096" s="419" t="s">
        <v>780</v>
      </c>
      <c r="R1096" s="556">
        <v>114</v>
      </c>
      <c r="S1096" s="549">
        <v>545</v>
      </c>
      <c r="T1096" s="442"/>
      <c r="U1096" s="424"/>
      <c r="V1096" s="419" t="s">
        <v>980</v>
      </c>
      <c r="W1096" s="548" t="s">
        <v>2228</v>
      </c>
      <c r="X1096" s="550"/>
      <c r="Y1096" s="542"/>
      <c r="Z1096" s="548"/>
    </row>
    <row r="1097" spans="1:26" ht="14.25" customHeight="1">
      <c r="A1097" s="553" t="s">
        <v>702</v>
      </c>
      <c r="B1097" s="446" t="s">
        <v>723</v>
      </c>
      <c r="C1097" s="491" t="s">
        <v>730</v>
      </c>
      <c r="D1097" s="472" t="s">
        <v>2897</v>
      </c>
      <c r="E1097" s="419" t="s">
        <v>1409</v>
      </c>
      <c r="F1097" s="419" t="s">
        <v>1681</v>
      </c>
      <c r="G1097" s="419" t="s">
        <v>1682</v>
      </c>
      <c r="H1097" s="419" t="s">
        <v>42</v>
      </c>
      <c r="I1097" s="419" t="s">
        <v>1320</v>
      </c>
      <c r="J1097" s="419" t="s">
        <v>44</v>
      </c>
      <c r="K1097" s="419" t="s">
        <v>44</v>
      </c>
      <c r="L1097" s="419" t="s">
        <v>44</v>
      </c>
      <c r="M1097" s="419" t="s">
        <v>45</v>
      </c>
      <c r="N1097" s="419">
        <v>23.099304</v>
      </c>
      <c r="O1097" s="419">
        <v>97.400671000000003</v>
      </c>
      <c r="P1097" s="419" t="s">
        <v>761</v>
      </c>
      <c r="Q1097" s="419" t="s">
        <v>926</v>
      </c>
      <c r="R1097" s="548">
        <v>61</v>
      </c>
      <c r="S1097" s="548">
        <v>279</v>
      </c>
      <c r="T1097" s="442">
        <v>42983</v>
      </c>
      <c r="U1097" s="424"/>
      <c r="V1097" s="419"/>
      <c r="W1097" s="414" t="s">
        <v>2229</v>
      </c>
      <c r="X1097" s="550"/>
      <c r="Y1097" s="542"/>
      <c r="Z1097" s="548"/>
    </row>
    <row r="1098" spans="1:26" ht="14.25" customHeight="1">
      <c r="A1098" s="553" t="s">
        <v>702</v>
      </c>
      <c r="B1098" s="446" t="s">
        <v>723</v>
      </c>
      <c r="C1098" s="491" t="s">
        <v>1106</v>
      </c>
      <c r="D1098" s="421" t="s">
        <v>1654</v>
      </c>
      <c r="E1098" s="419"/>
      <c r="F1098" s="419"/>
      <c r="G1098" s="419"/>
      <c r="H1098" s="419"/>
      <c r="I1098" s="419"/>
      <c r="J1098" s="419" t="s">
        <v>1449</v>
      </c>
      <c r="K1098" s="419" t="s">
        <v>44</v>
      </c>
      <c r="L1098" s="419" t="s">
        <v>44</v>
      </c>
      <c r="M1098" s="419" t="s">
        <v>45</v>
      </c>
      <c r="N1098" s="419"/>
      <c r="O1098" s="419"/>
      <c r="P1098" s="419" t="s">
        <v>761</v>
      </c>
      <c r="Q1098" s="419" t="s">
        <v>780</v>
      </c>
      <c r="R1098" s="430"/>
      <c r="S1098" s="423"/>
      <c r="T1098" s="442">
        <v>42747</v>
      </c>
      <c r="U1098" s="424"/>
      <c r="V1098" s="419"/>
      <c r="W1098" s="422"/>
      <c r="X1098" s="550"/>
      <c r="Y1098" s="542"/>
      <c r="Z1098" s="548"/>
    </row>
    <row r="1099" spans="1:26" ht="14.25" customHeight="1">
      <c r="A1099" s="553" t="s">
        <v>702</v>
      </c>
      <c r="B1099" s="446" t="s">
        <v>723</v>
      </c>
      <c r="C1099" s="491" t="s">
        <v>731</v>
      </c>
      <c r="D1099" s="472" t="s">
        <v>2897</v>
      </c>
      <c r="E1099" s="419" t="s">
        <v>1319</v>
      </c>
      <c r="F1099" s="546" t="s">
        <v>1681</v>
      </c>
      <c r="G1099" s="419" t="s">
        <v>1682</v>
      </c>
      <c r="H1099" s="419" t="s">
        <v>42</v>
      </c>
      <c r="I1099" s="419" t="s">
        <v>1320</v>
      </c>
      <c r="J1099" s="419" t="s">
        <v>44</v>
      </c>
      <c r="K1099" s="419" t="s">
        <v>44</v>
      </c>
      <c r="L1099" s="419" t="s">
        <v>44</v>
      </c>
      <c r="M1099" s="419" t="s">
        <v>45</v>
      </c>
      <c r="N1099" s="419">
        <v>0</v>
      </c>
      <c r="O1099" s="419">
        <v>0</v>
      </c>
      <c r="P1099" s="419" t="s">
        <v>761</v>
      </c>
      <c r="Q1099" s="419" t="s">
        <v>762</v>
      </c>
      <c r="R1099" s="548">
        <v>28</v>
      </c>
      <c r="S1099" s="548">
        <v>144</v>
      </c>
      <c r="T1099" s="442"/>
      <c r="U1099" s="424"/>
      <c r="V1099" s="419"/>
      <c r="W1099" s="414" t="s">
        <v>2229</v>
      </c>
      <c r="X1099" s="550"/>
      <c r="Y1099" s="542"/>
      <c r="Z1099" s="548"/>
    </row>
    <row r="1100" spans="1:26" ht="14.25" customHeight="1">
      <c r="A1100" s="553" t="s">
        <v>702</v>
      </c>
      <c r="B1100" s="446" t="s">
        <v>723</v>
      </c>
      <c r="C1100" s="491" t="s">
        <v>1958</v>
      </c>
      <c r="D1100" s="421"/>
      <c r="E1100" s="419"/>
      <c r="F1100" s="419"/>
      <c r="G1100" s="419"/>
      <c r="H1100" s="419"/>
      <c r="I1100" s="419"/>
      <c r="J1100" s="419" t="s">
        <v>1449</v>
      </c>
      <c r="K1100" s="419" t="s">
        <v>44</v>
      </c>
      <c r="L1100" s="419" t="s">
        <v>44</v>
      </c>
      <c r="M1100" s="419" t="s">
        <v>45</v>
      </c>
      <c r="N1100" s="419"/>
      <c r="O1100" s="419"/>
      <c r="P1100" s="419" t="s">
        <v>761</v>
      </c>
      <c r="Q1100" s="419" t="s">
        <v>1950</v>
      </c>
      <c r="R1100" s="430"/>
      <c r="S1100" s="423"/>
      <c r="T1100" s="442">
        <v>43270</v>
      </c>
      <c r="U1100" s="424"/>
      <c r="V1100" s="419"/>
      <c r="W1100" s="422"/>
      <c r="X1100" s="550"/>
      <c r="Y1100" s="542"/>
      <c r="Z1100" s="548"/>
    </row>
    <row r="1101" spans="1:26" ht="14.25" customHeight="1">
      <c r="A1101" s="553" t="s">
        <v>702</v>
      </c>
      <c r="B1101" s="446" t="s">
        <v>723</v>
      </c>
      <c r="C1101" s="491" t="s">
        <v>734</v>
      </c>
      <c r="D1101" s="421" t="s">
        <v>2897</v>
      </c>
      <c r="E1101" s="419" t="s">
        <v>1408</v>
      </c>
      <c r="F1101" s="419" t="s">
        <v>1681</v>
      </c>
      <c r="G1101" s="419" t="s">
        <v>1682</v>
      </c>
      <c r="H1101" s="419" t="s">
        <v>42</v>
      </c>
      <c r="I1101" s="419" t="s">
        <v>2727</v>
      </c>
      <c r="J1101" s="419" t="s">
        <v>44</v>
      </c>
      <c r="K1101" s="419" t="s">
        <v>44</v>
      </c>
      <c r="L1101" s="419" t="s">
        <v>44</v>
      </c>
      <c r="M1101" s="419" t="s">
        <v>45</v>
      </c>
      <c r="N1101" s="419">
        <v>23.094290000000001</v>
      </c>
      <c r="O1101" s="419">
        <v>97.404089999999997</v>
      </c>
      <c r="P1101" s="419" t="s">
        <v>761</v>
      </c>
      <c r="Q1101" s="419" t="s">
        <v>780</v>
      </c>
      <c r="R1101" s="430">
        <v>38</v>
      </c>
      <c r="S1101" s="423">
        <v>159</v>
      </c>
      <c r="T1101" s="442"/>
      <c r="U1101" s="424"/>
      <c r="V1101" s="419" t="s">
        <v>734</v>
      </c>
      <c r="W1101" s="414" t="s">
        <v>2230</v>
      </c>
      <c r="X1101" s="550"/>
      <c r="Y1101" s="542"/>
      <c r="Z1101" s="548"/>
    </row>
    <row r="1102" spans="1:26" ht="14.25" customHeight="1">
      <c r="A1102" s="553" t="s">
        <v>702</v>
      </c>
      <c r="B1102" s="577" t="s">
        <v>723</v>
      </c>
      <c r="C1102" s="491" t="s">
        <v>965</v>
      </c>
      <c r="D1102" s="547" t="s">
        <v>1655</v>
      </c>
      <c r="E1102" s="542" t="s">
        <v>1407</v>
      </c>
      <c r="F1102" s="542" t="s">
        <v>1681</v>
      </c>
      <c r="G1102" s="542" t="s">
        <v>1682</v>
      </c>
      <c r="H1102" s="542"/>
      <c r="I1102" s="542">
        <v>0</v>
      </c>
      <c r="J1102" s="542" t="s">
        <v>44</v>
      </c>
      <c r="K1102" s="542" t="s">
        <v>44</v>
      </c>
      <c r="L1102" s="542" t="s">
        <v>760</v>
      </c>
      <c r="M1102" s="542" t="s">
        <v>45</v>
      </c>
      <c r="N1102" s="542">
        <v>23.088058</v>
      </c>
      <c r="O1102" s="542">
        <v>97.398989</v>
      </c>
      <c r="P1102" s="542" t="s">
        <v>773</v>
      </c>
      <c r="Q1102" s="542" t="s">
        <v>780</v>
      </c>
      <c r="R1102" s="556"/>
      <c r="S1102" s="549"/>
      <c r="T1102" s="568"/>
      <c r="U1102" s="550"/>
      <c r="V1102" s="542" t="s">
        <v>787</v>
      </c>
      <c r="W1102" s="414" t="s">
        <v>2231</v>
      </c>
      <c r="X1102" s="550"/>
      <c r="Y1102" s="542"/>
      <c r="Z1102" s="548"/>
    </row>
    <row r="1103" spans="1:26" ht="14.25" customHeight="1">
      <c r="A1103" s="553" t="s">
        <v>702</v>
      </c>
      <c r="B1103" s="577" t="s">
        <v>723</v>
      </c>
      <c r="C1103" s="491" t="s">
        <v>783</v>
      </c>
      <c r="D1103" s="547" t="s">
        <v>1655</v>
      </c>
      <c r="E1103" s="542" t="s">
        <v>1327</v>
      </c>
      <c r="F1103" s="542" t="s">
        <v>1681</v>
      </c>
      <c r="G1103" s="542" t="s">
        <v>1682</v>
      </c>
      <c r="H1103" s="542"/>
      <c r="I1103" s="542">
        <v>0</v>
      </c>
      <c r="J1103" s="542" t="s">
        <v>44</v>
      </c>
      <c r="K1103" s="542" t="s">
        <v>44</v>
      </c>
      <c r="L1103" s="542" t="s">
        <v>760</v>
      </c>
      <c r="M1103" s="542" t="s">
        <v>45</v>
      </c>
      <c r="N1103" s="542"/>
      <c r="O1103" s="542"/>
      <c r="P1103" s="542" t="s">
        <v>761</v>
      </c>
      <c r="Q1103" s="542" t="s">
        <v>762</v>
      </c>
      <c r="R1103" s="556"/>
      <c r="S1103" s="549"/>
      <c r="T1103" s="568">
        <v>43019</v>
      </c>
      <c r="U1103" s="550" t="s">
        <v>784</v>
      </c>
      <c r="V1103" s="542"/>
      <c r="W1103" s="548" t="s">
        <v>784</v>
      </c>
      <c r="X1103" s="550"/>
      <c r="Y1103" s="542"/>
      <c r="Z1103" s="548"/>
    </row>
    <row r="1104" spans="1:26" ht="14.25" customHeight="1">
      <c r="A1104" s="549" t="s">
        <v>702</v>
      </c>
      <c r="B1104" s="577" t="s">
        <v>723</v>
      </c>
      <c r="C1104" s="491" t="s">
        <v>785</v>
      </c>
      <c r="D1104" s="472" t="s">
        <v>1655</v>
      </c>
      <c r="E1104" s="542" t="s">
        <v>1328</v>
      </c>
      <c r="F1104" s="542" t="s">
        <v>1681</v>
      </c>
      <c r="G1104" s="542" t="s">
        <v>1682</v>
      </c>
      <c r="H1104" s="542"/>
      <c r="I1104" s="546">
        <v>0</v>
      </c>
      <c r="J1104" s="542" t="s">
        <v>44</v>
      </c>
      <c r="K1104" s="542" t="s">
        <v>44</v>
      </c>
      <c r="L1104" s="542" t="s">
        <v>760</v>
      </c>
      <c r="M1104" s="542" t="s">
        <v>45</v>
      </c>
      <c r="N1104" s="542"/>
      <c r="O1104" s="542"/>
      <c r="P1104" s="542" t="s">
        <v>761</v>
      </c>
      <c r="Q1104" s="542" t="s">
        <v>762</v>
      </c>
      <c r="R1104" s="548"/>
      <c r="S1104" s="548"/>
      <c r="T1104" s="568">
        <v>42927</v>
      </c>
      <c r="U1104" s="550" t="s">
        <v>786</v>
      </c>
      <c r="V1104" s="542"/>
      <c r="W1104" s="414" t="s">
        <v>784</v>
      </c>
      <c r="X1104" s="550"/>
      <c r="Y1104" s="542"/>
      <c r="Z1104" s="548"/>
    </row>
    <row r="1105" spans="1:26" ht="14.25" customHeight="1">
      <c r="A1105" s="549" t="s">
        <v>702</v>
      </c>
      <c r="B1105" s="577" t="s">
        <v>723</v>
      </c>
      <c r="C1105" s="491" t="s">
        <v>787</v>
      </c>
      <c r="D1105" s="547" t="s">
        <v>1655</v>
      </c>
      <c r="E1105" s="542" t="s">
        <v>1329</v>
      </c>
      <c r="F1105" s="542" t="s">
        <v>1681</v>
      </c>
      <c r="G1105" s="542" t="s">
        <v>1682</v>
      </c>
      <c r="H1105" s="542"/>
      <c r="I1105" s="542">
        <v>0</v>
      </c>
      <c r="J1105" s="542" t="s">
        <v>44</v>
      </c>
      <c r="K1105" s="542" t="s">
        <v>44</v>
      </c>
      <c r="L1105" s="542" t="s">
        <v>760</v>
      </c>
      <c r="M1105" s="542" t="s">
        <v>45</v>
      </c>
      <c r="N1105" s="542"/>
      <c r="O1105" s="542"/>
      <c r="P1105" s="542" t="s">
        <v>761</v>
      </c>
      <c r="Q1105" s="542" t="s">
        <v>762</v>
      </c>
      <c r="R1105" s="556"/>
      <c r="S1105" s="549"/>
      <c r="T1105" s="568">
        <v>42927</v>
      </c>
      <c r="U1105" s="550" t="s">
        <v>788</v>
      </c>
      <c r="V1105" s="542"/>
      <c r="W1105" s="414" t="s">
        <v>2220</v>
      </c>
      <c r="X1105" s="550"/>
      <c r="Y1105" s="542"/>
      <c r="Z1105" s="548"/>
    </row>
    <row r="1106" spans="1:26" ht="14.25" customHeight="1">
      <c r="A1106" s="549" t="s">
        <v>702</v>
      </c>
      <c r="B1106" s="577" t="s">
        <v>723</v>
      </c>
      <c r="C1106" s="491" t="s">
        <v>724</v>
      </c>
      <c r="D1106" s="547" t="s">
        <v>2897</v>
      </c>
      <c r="E1106" s="542" t="s">
        <v>1406</v>
      </c>
      <c r="F1106" s="542" t="s">
        <v>1757</v>
      </c>
      <c r="G1106" s="542" t="s">
        <v>1758</v>
      </c>
      <c r="H1106" s="542"/>
      <c r="I1106" s="542" t="s">
        <v>2142</v>
      </c>
      <c r="J1106" s="542" t="s">
        <v>44</v>
      </c>
      <c r="K1106" s="542" t="s">
        <v>44</v>
      </c>
      <c r="L1106" s="542" t="s">
        <v>776</v>
      </c>
      <c r="M1106" s="542" t="s">
        <v>45</v>
      </c>
      <c r="N1106" s="542">
        <v>22.765999999999998</v>
      </c>
      <c r="O1106" s="542">
        <v>97.358999999999995</v>
      </c>
      <c r="P1106" s="542" t="s">
        <v>761</v>
      </c>
      <c r="Q1106" s="542" t="s">
        <v>762</v>
      </c>
      <c r="R1106" s="556">
        <v>6</v>
      </c>
      <c r="S1106" s="549">
        <v>27</v>
      </c>
      <c r="T1106" s="568"/>
      <c r="U1106" s="550" t="s">
        <v>964</v>
      </c>
      <c r="V1106" s="542"/>
      <c r="W1106" s="548" t="s">
        <v>2232</v>
      </c>
      <c r="X1106" s="550"/>
      <c r="Y1106" s="542"/>
      <c r="Z1106" s="548"/>
    </row>
    <row r="1107" spans="1:26" ht="14.25" customHeight="1">
      <c r="A1107" s="549" t="s">
        <v>702</v>
      </c>
      <c r="B1107" s="577" t="s">
        <v>723</v>
      </c>
      <c r="C1107" s="491" t="s">
        <v>966</v>
      </c>
      <c r="D1107" s="547" t="s">
        <v>1654</v>
      </c>
      <c r="E1107" s="542" t="s">
        <v>1410</v>
      </c>
      <c r="F1107" s="551"/>
      <c r="G1107" s="542"/>
      <c r="H1107" s="542"/>
      <c r="I1107" s="542">
        <v>0</v>
      </c>
      <c r="J1107" s="542" t="s">
        <v>44</v>
      </c>
      <c r="K1107" s="542" t="s">
        <v>44</v>
      </c>
      <c r="L1107" s="542" t="s">
        <v>760</v>
      </c>
      <c r="M1107" s="542" t="s">
        <v>45</v>
      </c>
      <c r="N1107" s="542">
        <v>23.099304</v>
      </c>
      <c r="O1107" s="542">
        <v>97.400671000000003</v>
      </c>
      <c r="P1107" s="542" t="s">
        <v>761</v>
      </c>
      <c r="Q1107" s="542" t="s">
        <v>762</v>
      </c>
      <c r="R1107" s="556"/>
      <c r="S1107" s="549"/>
      <c r="T1107" s="568">
        <v>42747</v>
      </c>
      <c r="U1107" s="550" t="s">
        <v>967</v>
      </c>
      <c r="V1107" s="542"/>
      <c r="W1107" s="548" t="s">
        <v>2233</v>
      </c>
      <c r="X1107" s="550"/>
      <c r="Y1107" s="542"/>
      <c r="Z1107" s="548"/>
    </row>
    <row r="1108" spans="1:26" ht="14.25" customHeight="1">
      <c r="A1108" s="549" t="s">
        <v>702</v>
      </c>
      <c r="B1108" s="577" t="s">
        <v>723</v>
      </c>
      <c r="C1108" s="491" t="s">
        <v>1148</v>
      </c>
      <c r="D1108" s="547" t="s">
        <v>1654</v>
      </c>
      <c r="E1108" s="542"/>
      <c r="F1108" s="542"/>
      <c r="G1108" s="542"/>
      <c r="H1108" s="542"/>
      <c r="I1108" s="542"/>
      <c r="J1108" s="542" t="s">
        <v>1449</v>
      </c>
      <c r="K1108" s="542" t="s">
        <v>44</v>
      </c>
      <c r="L1108" s="542" t="s">
        <v>760</v>
      </c>
      <c r="M1108" s="542" t="s">
        <v>45</v>
      </c>
      <c r="N1108" s="542"/>
      <c r="O1108" s="542"/>
      <c r="P1108" s="542" t="s">
        <v>761</v>
      </c>
      <c r="Q1108" s="542" t="s">
        <v>780</v>
      </c>
      <c r="R1108" s="556"/>
      <c r="S1108" s="549"/>
      <c r="T1108" s="568">
        <v>42747</v>
      </c>
      <c r="U1108" s="550"/>
      <c r="V1108" s="542"/>
      <c r="W1108" s="548"/>
      <c r="X1108" s="550"/>
      <c r="Y1108" s="542"/>
      <c r="Z1108" s="548"/>
    </row>
    <row r="1109" spans="1:26" ht="14.25" customHeight="1">
      <c r="A1109" s="549" t="s">
        <v>702</v>
      </c>
      <c r="B1109" s="577" t="s">
        <v>1260</v>
      </c>
      <c r="C1109" s="491" t="s">
        <v>2253</v>
      </c>
      <c r="D1109" s="547"/>
      <c r="E1109" s="542"/>
      <c r="F1109" s="542"/>
      <c r="G1109" s="542"/>
      <c r="H1109" s="542"/>
      <c r="I1109" s="542"/>
      <c r="J1109" s="542" t="s">
        <v>2715</v>
      </c>
      <c r="K1109" s="542" t="s">
        <v>2677</v>
      </c>
      <c r="L1109" s="542" t="s">
        <v>2677</v>
      </c>
      <c r="M1109" s="542" t="s">
        <v>45</v>
      </c>
      <c r="N1109" s="542"/>
      <c r="O1109" s="542"/>
      <c r="P1109" s="542" t="s">
        <v>1993</v>
      </c>
      <c r="Q1109" s="542" t="s">
        <v>926</v>
      </c>
      <c r="R1109" s="556"/>
      <c r="S1109" s="549"/>
      <c r="T1109" s="568">
        <v>43392</v>
      </c>
      <c r="U1109" s="550"/>
      <c r="V1109" s="565"/>
      <c r="W1109" s="548"/>
      <c r="X1109" s="550"/>
      <c r="Y1109" s="542"/>
      <c r="Z1109" s="548"/>
    </row>
    <row r="1110" spans="1:26" ht="14.25" customHeight="1">
      <c r="A1110" s="599" t="s">
        <v>702</v>
      </c>
      <c r="B1110" s="600" t="s">
        <v>1260</v>
      </c>
      <c r="C1110" s="601" t="s">
        <v>1126</v>
      </c>
      <c r="D1110" s="547" t="s">
        <v>1654</v>
      </c>
      <c r="E1110" s="602"/>
      <c r="F1110" s="602"/>
      <c r="G1110" s="602"/>
      <c r="H1110" s="602"/>
      <c r="I1110" s="602"/>
      <c r="J1110" s="602" t="s">
        <v>1449</v>
      </c>
      <c r="K1110" s="602" t="s">
        <v>44</v>
      </c>
      <c r="L1110" s="602" t="s">
        <v>760</v>
      </c>
      <c r="M1110" s="602" t="s">
        <v>45</v>
      </c>
      <c r="N1110" s="602"/>
      <c r="O1110" s="602"/>
      <c r="P1110" s="602" t="s">
        <v>761</v>
      </c>
      <c r="Q1110" s="602" t="s">
        <v>780</v>
      </c>
      <c r="R1110" s="603"/>
      <c r="S1110" s="599"/>
      <c r="T1110" s="604">
        <v>42747</v>
      </c>
      <c r="U1110" s="603"/>
      <c r="V1110" s="602"/>
      <c r="W1110" s="548"/>
      <c r="X1110" s="550"/>
      <c r="Y1110" s="542"/>
      <c r="Z1110" s="548"/>
    </row>
    <row r="1111" spans="1:26" ht="14.25" customHeight="1">
      <c r="A1111" s="599" t="s">
        <v>702</v>
      </c>
      <c r="B1111" s="600" t="s">
        <v>1263</v>
      </c>
      <c r="C1111" s="601" t="s">
        <v>1303</v>
      </c>
      <c r="D1111" s="547" t="s">
        <v>1874</v>
      </c>
      <c r="E1111" s="602"/>
      <c r="F1111" s="602"/>
      <c r="G1111" s="602"/>
      <c r="H1111" s="602"/>
      <c r="I1111" s="602"/>
      <c r="J1111" s="602" t="s">
        <v>1449</v>
      </c>
      <c r="K1111" s="602" t="s">
        <v>44</v>
      </c>
      <c r="L1111" s="602" t="s">
        <v>776</v>
      </c>
      <c r="M1111" s="602" t="s">
        <v>2021</v>
      </c>
      <c r="N1111" s="602"/>
      <c r="O1111" s="602"/>
      <c r="P1111" s="602" t="s">
        <v>761</v>
      </c>
      <c r="Q1111" s="602"/>
      <c r="R1111" s="603"/>
      <c r="S1111" s="599"/>
      <c r="T1111" s="604">
        <v>43298</v>
      </c>
      <c r="U1111" s="603"/>
      <c r="V1111" s="602"/>
      <c r="W1111" s="548"/>
      <c r="X1111" s="550"/>
      <c r="Y1111" s="542"/>
      <c r="Z1111" s="548"/>
    </row>
  </sheetData>
  <conditionalFormatting sqref="V226">
    <cfRule type="duplicateValues" dxfId="619" priority="4"/>
  </conditionalFormatting>
  <conditionalFormatting sqref="V940">
    <cfRule type="duplicateValues" dxfId="618" priority="3"/>
  </conditionalFormatting>
  <conditionalFormatting sqref="V985">
    <cfRule type="duplicateValues" dxfId="617" priority="2"/>
  </conditionalFormatting>
  <conditionalFormatting sqref="V1109">
    <cfRule type="duplicateValues" dxfId="616" priority="1"/>
  </conditionalFormatting>
  <conditionalFormatting sqref="C3:C1111">
    <cfRule type="duplicateValues" dxfId="615" priority="12140"/>
  </conditionalFormatting>
  <conditionalFormatting sqref="E3:E1111">
    <cfRule type="duplicateValues" dxfId="614" priority="12142"/>
  </conditionalFormatting>
  <dataValidations count="1">
    <dataValidation type="list" allowBlank="1" showInputMessage="1" showErrorMessage="1" sqref="C769" xr:uid="{00000000-0002-0000-0300-000001000000}">
      <formula1>OFFSET(Township_start,MATCH(B769,Township_list, 0),1, COUNTIF(Township_list,B769),1)</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4BE1491-950D-4CE8-81F6-C21A5305EBD5}">
          <x14:formula1>
            <xm:f>'C:\Users\mthaw\Mee Mee\2. Information Management\C_Camp Info\2. CCCM Camp list\Kachin\2019\[shelter-nfi-cccm_kachin_northern_shan_cluster_analysis_report_march_2019.xlsx]Definition'!#REF!</xm:f>
          </x14:formula1>
          <xm:sqref>L531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741C3-1183-407C-AC8B-9E3DB0A0F35B}">
  <sheetPr>
    <tabColor rgb="FF92D050"/>
  </sheetPr>
  <dimension ref="A1:G11"/>
  <sheetViews>
    <sheetView view="pageBreakPreview" zoomScale="89" zoomScaleNormal="85" zoomScaleSheetLayoutView="89" workbookViewId="0">
      <selection activeCell="B3" sqref="B3"/>
    </sheetView>
  </sheetViews>
  <sheetFormatPr defaultColWidth="6.75" defaultRowHeight="15.75"/>
  <cols>
    <col min="1" max="1" width="10.75" style="237" customWidth="1"/>
    <col min="2" max="2" width="39.375" style="237" customWidth="1"/>
    <col min="3" max="3" width="19" style="237" customWidth="1"/>
    <col min="4" max="4" width="63.5" style="237" customWidth="1"/>
    <col min="5" max="5" width="40.875" style="239" customWidth="1"/>
    <col min="6" max="6" width="25.375" style="239" hidden="1" customWidth="1"/>
    <col min="7" max="16384" width="6.75" style="239"/>
  </cols>
  <sheetData>
    <row r="1" spans="1:7">
      <c r="B1" s="238" t="s">
        <v>2374</v>
      </c>
      <c r="C1" s="238"/>
      <c r="D1" s="238"/>
    </row>
    <row r="2" spans="1:7" ht="39">
      <c r="A2" s="240" t="s">
        <v>72</v>
      </c>
      <c r="B2" s="240" t="s">
        <v>2375</v>
      </c>
      <c r="C2" s="240" t="s">
        <v>73</v>
      </c>
      <c r="D2" s="240" t="s">
        <v>74</v>
      </c>
      <c r="E2" s="240" t="s">
        <v>1289</v>
      </c>
      <c r="F2" s="240" t="s">
        <v>75</v>
      </c>
    </row>
    <row r="3" spans="1:7" ht="157.5" customHeight="1">
      <c r="A3" s="241" t="s">
        <v>1300</v>
      </c>
      <c r="B3" s="241" t="s">
        <v>2376</v>
      </c>
      <c r="C3" s="241" t="s">
        <v>3003</v>
      </c>
      <c r="D3" s="242" t="s">
        <v>3004</v>
      </c>
      <c r="E3" s="241" t="s">
        <v>3005</v>
      </c>
      <c r="F3" s="241" t="s">
        <v>2377</v>
      </c>
    </row>
    <row r="4" spans="1:7" ht="170.25" customHeight="1">
      <c r="A4" s="243" t="s">
        <v>1301</v>
      </c>
      <c r="B4" s="243" t="s">
        <v>2378</v>
      </c>
      <c r="C4" s="243" t="s">
        <v>3006</v>
      </c>
      <c r="D4" s="243" t="s">
        <v>3007</v>
      </c>
      <c r="E4" s="243" t="s">
        <v>3008</v>
      </c>
      <c r="F4" s="243" t="s">
        <v>2788</v>
      </c>
    </row>
    <row r="5" spans="1:7" ht="242.25" customHeight="1">
      <c r="A5" s="244" t="s">
        <v>1617</v>
      </c>
      <c r="B5" s="244" t="s">
        <v>2529</v>
      </c>
      <c r="C5" s="244" t="s">
        <v>3009</v>
      </c>
      <c r="D5" s="244" t="s">
        <v>3010</v>
      </c>
      <c r="E5" s="244"/>
      <c r="F5" s="244"/>
    </row>
    <row r="6" spans="1:7">
      <c r="E6" s="237"/>
      <c r="F6" s="237"/>
    </row>
    <row r="7" spans="1:7">
      <c r="E7" s="237"/>
      <c r="F7" s="237"/>
    </row>
    <row r="8" spans="1:7" s="237" customFormat="1">
      <c r="G8" s="245"/>
    </row>
    <row r="9" spans="1:7" s="237" customFormat="1"/>
    <row r="10" spans="1:7">
      <c r="E10" s="237"/>
      <c r="F10" s="237"/>
    </row>
    <row r="11" spans="1:7">
      <c r="E11" s="237"/>
      <c r="F11" s="237"/>
    </row>
  </sheetData>
  <pageMargins left="0" right="0" top="0.5" bottom="0.5" header="0.3" footer="0.3"/>
  <pageSetup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69"/>
  <sheetViews>
    <sheetView zoomScale="110" zoomScaleNormal="110" zoomScaleSheetLayoutView="50" workbookViewId="0">
      <pane xSplit="1" ySplit="2" topLeftCell="B44" activePane="bottomRight" state="frozen"/>
      <selection activeCell="F61" sqref="F61"/>
      <selection pane="topRight" activeCell="F61" sqref="F61"/>
      <selection pane="bottomLeft" activeCell="F61" sqref="F61"/>
      <selection pane="bottomRight" activeCell="E50" sqref="E50"/>
    </sheetView>
  </sheetViews>
  <sheetFormatPr defaultColWidth="8" defaultRowHeight="45" customHeight="1"/>
  <cols>
    <col min="1" max="1" width="7.625" style="303" bestFit="1" customWidth="1"/>
    <col min="2" max="2" width="42.75" style="326" bestFit="1" customWidth="1"/>
    <col min="3" max="4" width="11.625" style="326" customWidth="1"/>
    <col min="5" max="5" width="61.5" style="326" bestFit="1" customWidth="1"/>
    <col min="6" max="6" width="57.375" style="618" bestFit="1" customWidth="1"/>
    <col min="7" max="16378" width="8" style="302"/>
    <col min="16379" max="16384" width="21.25" style="302" customWidth="1"/>
  </cols>
  <sheetData>
    <row r="1" spans="1:6" ht="45" customHeight="1">
      <c r="A1" s="922"/>
      <c r="B1" s="922"/>
      <c r="C1" s="922"/>
      <c r="D1" s="922"/>
      <c r="E1" s="922"/>
    </row>
    <row r="2" spans="1:6" s="306" customFormat="1" ht="45" customHeight="1">
      <c r="A2" s="304" t="s">
        <v>47</v>
      </c>
      <c r="B2" s="305" t="s">
        <v>2314</v>
      </c>
      <c r="C2" s="305" t="s">
        <v>2315</v>
      </c>
      <c r="D2" s="305" t="s">
        <v>2903</v>
      </c>
      <c r="E2" s="305" t="s">
        <v>48</v>
      </c>
      <c r="F2" s="215" t="s">
        <v>2391</v>
      </c>
    </row>
    <row r="3" spans="1:6" ht="45" customHeight="1">
      <c r="A3" s="307" t="s">
        <v>0</v>
      </c>
      <c r="B3" s="308" t="s">
        <v>2318</v>
      </c>
      <c r="C3" s="308" t="s">
        <v>16</v>
      </c>
      <c r="D3" s="308"/>
      <c r="E3" s="309"/>
      <c r="F3" s="619"/>
    </row>
    <row r="4" spans="1:6" ht="62.45" customHeight="1">
      <c r="A4" s="307" t="s">
        <v>1</v>
      </c>
      <c r="B4" s="308" t="s">
        <v>2320</v>
      </c>
      <c r="C4" s="308" t="s">
        <v>16</v>
      </c>
      <c r="D4" s="308"/>
      <c r="E4" s="309" t="s">
        <v>2321</v>
      </c>
      <c r="F4" s="619"/>
    </row>
    <row r="5" spans="1:6" ht="45" customHeight="1">
      <c r="A5" s="307" t="s">
        <v>2</v>
      </c>
      <c r="B5" s="308" t="s">
        <v>2322</v>
      </c>
      <c r="C5" s="308" t="s">
        <v>16</v>
      </c>
      <c r="D5" s="308"/>
      <c r="E5" s="309" t="s">
        <v>2323</v>
      </c>
      <c r="F5" s="619"/>
    </row>
    <row r="6" spans="1:6" ht="45" customHeight="1">
      <c r="A6" s="307" t="s">
        <v>3</v>
      </c>
      <c r="B6" s="308" t="s">
        <v>2324</v>
      </c>
      <c r="C6" s="308" t="s">
        <v>18</v>
      </c>
      <c r="D6" s="308"/>
      <c r="E6" s="309" t="s">
        <v>2475</v>
      </c>
      <c r="F6" s="619"/>
    </row>
    <row r="7" spans="1:6" ht="45" customHeight="1">
      <c r="A7" s="307" t="s">
        <v>4</v>
      </c>
      <c r="B7" s="308" t="s">
        <v>22</v>
      </c>
      <c r="C7" s="308" t="s">
        <v>16</v>
      </c>
      <c r="D7" s="308"/>
      <c r="E7" s="309" t="s">
        <v>2325</v>
      </c>
      <c r="F7" s="619"/>
    </row>
    <row r="8" spans="1:6" ht="45" customHeight="1">
      <c r="A8" s="307" t="s">
        <v>1154</v>
      </c>
      <c r="B8" s="308" t="s">
        <v>23</v>
      </c>
      <c r="C8" s="308" t="s">
        <v>16</v>
      </c>
      <c r="D8" s="308"/>
      <c r="E8" s="309" t="s">
        <v>2325</v>
      </c>
      <c r="F8" s="619"/>
    </row>
    <row r="9" spans="1:6" ht="45" customHeight="1">
      <c r="A9" s="307" t="s">
        <v>5</v>
      </c>
      <c r="B9" s="308" t="s">
        <v>2326</v>
      </c>
      <c r="C9" s="308" t="s">
        <v>2469</v>
      </c>
      <c r="D9" s="308"/>
      <c r="E9" s="309" t="s">
        <v>2327</v>
      </c>
      <c r="F9" s="619"/>
    </row>
    <row r="10" spans="1:6" ht="45" customHeight="1">
      <c r="A10" s="307" t="s">
        <v>6</v>
      </c>
      <c r="B10" s="308" t="s">
        <v>2328</v>
      </c>
      <c r="C10" s="308" t="s">
        <v>16</v>
      </c>
      <c r="D10" s="308"/>
      <c r="E10" s="309" t="s">
        <v>2329</v>
      </c>
      <c r="F10" s="619"/>
    </row>
    <row r="11" spans="1:6" ht="75" customHeight="1">
      <c r="A11" s="307" t="s">
        <v>51</v>
      </c>
      <c r="B11" s="308" t="s">
        <v>25</v>
      </c>
      <c r="C11" s="308" t="s">
        <v>17</v>
      </c>
      <c r="D11" s="308"/>
      <c r="E11" s="309" t="s">
        <v>2383</v>
      </c>
      <c r="F11" s="619"/>
    </row>
    <row r="12" spans="1:6" ht="85.15" customHeight="1">
      <c r="A12" s="307" t="s">
        <v>52</v>
      </c>
      <c r="B12" s="308" t="s">
        <v>1896</v>
      </c>
      <c r="C12" s="308" t="s">
        <v>17</v>
      </c>
      <c r="D12" s="308"/>
      <c r="E12" s="309" t="s">
        <v>2383</v>
      </c>
      <c r="F12" s="619"/>
    </row>
    <row r="13" spans="1:6" ht="45" customHeight="1">
      <c r="A13" s="307" t="s">
        <v>55</v>
      </c>
      <c r="B13" s="308" t="s">
        <v>2330</v>
      </c>
      <c r="C13" s="308" t="s">
        <v>19</v>
      </c>
      <c r="D13" s="308"/>
      <c r="E13" s="309" t="s">
        <v>2331</v>
      </c>
      <c r="F13" s="619"/>
    </row>
    <row r="14" spans="1:6" ht="45" customHeight="1">
      <c r="A14" s="307" t="s">
        <v>57</v>
      </c>
      <c r="B14" s="308" t="s">
        <v>2332</v>
      </c>
      <c r="C14" s="308" t="s">
        <v>19</v>
      </c>
      <c r="D14" s="308"/>
      <c r="E14" s="309" t="s">
        <v>2333</v>
      </c>
      <c r="F14" s="619"/>
    </row>
    <row r="15" spans="1:6" ht="45" customHeight="1">
      <c r="A15" s="307" t="s">
        <v>59</v>
      </c>
      <c r="B15" s="308" t="s">
        <v>2491</v>
      </c>
      <c r="C15" s="308" t="s">
        <v>17</v>
      </c>
      <c r="D15" s="308"/>
      <c r="E15" s="309"/>
      <c r="F15" s="619"/>
    </row>
    <row r="16" spans="1:6" ht="45" customHeight="1">
      <c r="A16" s="307" t="s">
        <v>115</v>
      </c>
      <c r="B16" s="308" t="s">
        <v>1989</v>
      </c>
      <c r="C16" s="308" t="s">
        <v>17</v>
      </c>
      <c r="D16" s="308"/>
      <c r="E16" s="309" t="s">
        <v>2492</v>
      </c>
      <c r="F16" s="619"/>
    </row>
    <row r="17" spans="1:6" ht="45" customHeight="1">
      <c r="A17" s="307" t="s">
        <v>116</v>
      </c>
      <c r="B17" s="308" t="s">
        <v>1991</v>
      </c>
      <c r="C17" s="308" t="s">
        <v>17</v>
      </c>
      <c r="D17" s="308"/>
      <c r="E17" s="309" t="s">
        <v>2493</v>
      </c>
      <c r="F17" s="619"/>
    </row>
    <row r="18" spans="1:6" ht="45" customHeight="1">
      <c r="A18" s="307" t="s">
        <v>61</v>
      </c>
      <c r="B18" s="308" t="s">
        <v>2334</v>
      </c>
      <c r="C18" s="308" t="s">
        <v>17</v>
      </c>
      <c r="D18" s="308"/>
      <c r="E18" s="309" t="s">
        <v>2495</v>
      </c>
      <c r="F18" s="619"/>
    </row>
    <row r="19" spans="1:6" ht="45" customHeight="1">
      <c r="A19" s="307" t="s">
        <v>60</v>
      </c>
      <c r="B19" s="308" t="s">
        <v>2335</v>
      </c>
      <c r="C19" s="308" t="s">
        <v>2336</v>
      </c>
      <c r="D19" s="308"/>
      <c r="E19" s="309" t="s">
        <v>2496</v>
      </c>
      <c r="F19" s="619"/>
    </row>
    <row r="20" spans="1:6" ht="45" customHeight="1">
      <c r="A20" s="307" t="s">
        <v>62</v>
      </c>
      <c r="B20" s="308" t="s">
        <v>2337</v>
      </c>
      <c r="C20" s="308" t="s">
        <v>17</v>
      </c>
      <c r="D20" s="308"/>
      <c r="E20" s="309" t="s">
        <v>2497</v>
      </c>
      <c r="F20" s="619"/>
    </row>
    <row r="21" spans="1:6" ht="45" customHeight="1">
      <c r="A21" s="307" t="s">
        <v>1155</v>
      </c>
      <c r="B21" s="308" t="s">
        <v>2338</v>
      </c>
      <c r="C21" s="308" t="s">
        <v>17</v>
      </c>
      <c r="D21" s="308"/>
      <c r="E21" s="309" t="s">
        <v>2497</v>
      </c>
      <c r="F21" s="619"/>
    </row>
    <row r="22" spans="1:6" ht="76.5">
      <c r="A22" s="310" t="s">
        <v>64</v>
      </c>
      <c r="B22" s="605" t="s">
        <v>2910</v>
      </c>
      <c r="C22" s="219" t="s">
        <v>17</v>
      </c>
      <c r="D22" s="219" t="s">
        <v>2904</v>
      </c>
      <c r="E22" s="289" t="s">
        <v>3023</v>
      </c>
      <c r="F22" s="694" t="s">
        <v>2340</v>
      </c>
    </row>
    <row r="23" spans="1:6" ht="25.5">
      <c r="A23" s="310" t="s">
        <v>65</v>
      </c>
      <c r="B23" s="605" t="s">
        <v>2921</v>
      </c>
      <c r="C23" s="219" t="s">
        <v>17</v>
      </c>
      <c r="D23" s="219" t="s">
        <v>2904</v>
      </c>
      <c r="E23" s="289"/>
      <c r="F23" s="619"/>
    </row>
    <row r="24" spans="1:6" ht="45" customHeight="1">
      <c r="A24" s="310" t="s">
        <v>66</v>
      </c>
      <c r="B24" s="605" t="s">
        <v>3000</v>
      </c>
      <c r="C24" s="219" t="s">
        <v>17</v>
      </c>
      <c r="D24" s="219" t="s">
        <v>2905</v>
      </c>
      <c r="E24" s="289" t="s">
        <v>2908</v>
      </c>
      <c r="F24" s="694" t="s">
        <v>2340</v>
      </c>
    </row>
    <row r="25" spans="1:6" ht="38.25">
      <c r="A25" s="310" t="s">
        <v>67</v>
      </c>
      <c r="B25" s="605" t="s">
        <v>3001</v>
      </c>
      <c r="C25" s="219" t="s">
        <v>17</v>
      </c>
      <c r="D25" s="219" t="s">
        <v>2906</v>
      </c>
      <c r="E25" s="289" t="s">
        <v>3024</v>
      </c>
      <c r="F25" s="694" t="s">
        <v>2340</v>
      </c>
    </row>
    <row r="26" spans="1:6" ht="38.25">
      <c r="A26" s="310" t="s">
        <v>1156</v>
      </c>
      <c r="B26" s="219" t="s">
        <v>2967</v>
      </c>
      <c r="C26" s="219" t="s">
        <v>17</v>
      </c>
      <c r="D26" s="219" t="s">
        <v>2904</v>
      </c>
      <c r="E26" s="289" t="s">
        <v>3025</v>
      </c>
      <c r="F26" s="619"/>
    </row>
    <row r="27" spans="1:6" ht="25.5">
      <c r="A27" s="310" t="s">
        <v>68</v>
      </c>
      <c r="B27" s="219" t="s">
        <v>2968</v>
      </c>
      <c r="C27" s="219" t="s">
        <v>17</v>
      </c>
      <c r="D27" s="219" t="s">
        <v>2904</v>
      </c>
      <c r="E27" s="289" t="s">
        <v>3026</v>
      </c>
      <c r="F27" s="619"/>
    </row>
    <row r="28" spans="1:6" ht="38.25">
      <c r="A28" s="310" t="s">
        <v>69</v>
      </c>
      <c r="B28" s="219" t="s">
        <v>2969</v>
      </c>
      <c r="C28" s="219" t="s">
        <v>17</v>
      </c>
      <c r="D28" s="219" t="s">
        <v>2904</v>
      </c>
      <c r="E28" s="289" t="s">
        <v>3027</v>
      </c>
      <c r="F28" s="619"/>
    </row>
    <row r="29" spans="1:6" ht="25.5">
      <c r="A29" s="310" t="s">
        <v>70</v>
      </c>
      <c r="B29" s="219" t="s">
        <v>2970</v>
      </c>
      <c r="C29" s="219" t="s">
        <v>17</v>
      </c>
      <c r="D29" s="219" t="s">
        <v>2904</v>
      </c>
      <c r="E29" s="289" t="s">
        <v>3028</v>
      </c>
      <c r="F29" s="619"/>
    </row>
    <row r="30" spans="1:6" ht="25.5">
      <c r="A30" s="310" t="s">
        <v>71</v>
      </c>
      <c r="B30" s="219" t="s">
        <v>2911</v>
      </c>
      <c r="C30" s="219" t="s">
        <v>17</v>
      </c>
      <c r="D30" s="219" t="s">
        <v>2907</v>
      </c>
      <c r="E30" s="289" t="s">
        <v>3029</v>
      </c>
      <c r="F30" s="619"/>
    </row>
    <row r="31" spans="1:6" ht="38.25">
      <c r="A31" s="310" t="s">
        <v>1290</v>
      </c>
      <c r="B31" s="219" t="s">
        <v>2920</v>
      </c>
      <c r="C31" s="219" t="s">
        <v>17</v>
      </c>
      <c r="D31" s="219" t="s">
        <v>2904</v>
      </c>
      <c r="E31" s="289" t="s">
        <v>3030</v>
      </c>
      <c r="F31" s="620"/>
    </row>
    <row r="32" spans="1:6" ht="89.25">
      <c r="A32" s="310" t="s">
        <v>1291</v>
      </c>
      <c r="B32" s="219" t="s">
        <v>2971</v>
      </c>
      <c r="C32" s="219" t="s">
        <v>17</v>
      </c>
      <c r="D32" s="219"/>
      <c r="E32" s="289" t="s">
        <v>3031</v>
      </c>
      <c r="F32" s="694" t="s">
        <v>2340</v>
      </c>
    </row>
    <row r="33" spans="1:6" ht="45" customHeight="1">
      <c r="A33" s="310" t="s">
        <v>1292</v>
      </c>
      <c r="B33" s="288" t="s">
        <v>2922</v>
      </c>
      <c r="C33" s="219" t="s">
        <v>18</v>
      </c>
      <c r="D33" s="219"/>
      <c r="E33" s="289"/>
      <c r="F33" s="619"/>
    </row>
    <row r="34" spans="1:6" ht="76.5">
      <c r="A34" s="314" t="s">
        <v>1293</v>
      </c>
      <c r="B34" s="231" t="s">
        <v>2972</v>
      </c>
      <c r="C34" s="231" t="s">
        <v>17</v>
      </c>
      <c r="D34" s="231" t="s">
        <v>2904</v>
      </c>
      <c r="E34" s="315" t="s">
        <v>3033</v>
      </c>
      <c r="F34" s="695" t="s">
        <v>2345</v>
      </c>
    </row>
    <row r="35" spans="1:6" ht="25.5">
      <c r="A35" s="314" t="s">
        <v>1294</v>
      </c>
      <c r="B35" s="231" t="s">
        <v>2973</v>
      </c>
      <c r="C35" s="231" t="s">
        <v>17</v>
      </c>
      <c r="D35" s="231" t="s">
        <v>2904</v>
      </c>
      <c r="E35" s="315" t="s">
        <v>3032</v>
      </c>
      <c r="F35" s="619"/>
    </row>
    <row r="36" spans="1:6" ht="38.25">
      <c r="A36" s="314" t="s">
        <v>1295</v>
      </c>
      <c r="B36" s="231" t="s">
        <v>2974</v>
      </c>
      <c r="C36" s="231" t="s">
        <v>17</v>
      </c>
      <c r="D36" s="231" t="s">
        <v>2904</v>
      </c>
      <c r="E36" s="315" t="s">
        <v>3034</v>
      </c>
      <c r="F36" s="619"/>
    </row>
    <row r="37" spans="1:6" ht="25.5">
      <c r="A37" s="314" t="s">
        <v>1296</v>
      </c>
      <c r="B37" s="231" t="s">
        <v>2975</v>
      </c>
      <c r="C37" s="231" t="s">
        <v>56</v>
      </c>
      <c r="D37" s="231" t="s">
        <v>2904</v>
      </c>
      <c r="E37" s="315" t="s">
        <v>3035</v>
      </c>
      <c r="F37" s="619"/>
    </row>
    <row r="38" spans="1:6" ht="33" customHeight="1">
      <c r="A38" s="314" t="s">
        <v>1297</v>
      </c>
      <c r="B38" s="231" t="s">
        <v>2976</v>
      </c>
      <c r="C38" s="231" t="s">
        <v>17</v>
      </c>
      <c r="D38" s="231" t="s">
        <v>2904</v>
      </c>
      <c r="E38" s="315" t="s">
        <v>3036</v>
      </c>
      <c r="F38" s="619"/>
    </row>
    <row r="39" spans="1:6" ht="33" customHeight="1">
      <c r="A39" s="314" t="s">
        <v>1298</v>
      </c>
      <c r="B39" s="231" t="s">
        <v>2977</v>
      </c>
      <c r="C39" s="231" t="s">
        <v>56</v>
      </c>
      <c r="D39" s="231" t="s">
        <v>2904</v>
      </c>
      <c r="E39" s="315" t="s">
        <v>3037</v>
      </c>
      <c r="F39" s="619"/>
    </row>
    <row r="40" spans="1:6" ht="33" customHeight="1">
      <c r="A40" s="314" t="s">
        <v>1299</v>
      </c>
      <c r="B40" s="231" t="s">
        <v>2978</v>
      </c>
      <c r="C40" s="231" t="s">
        <v>56</v>
      </c>
      <c r="D40" s="231" t="s">
        <v>2904</v>
      </c>
      <c r="E40" s="315" t="s">
        <v>3038</v>
      </c>
      <c r="F40" s="619"/>
    </row>
    <row r="41" spans="1:6" ht="33" customHeight="1">
      <c r="A41" s="314" t="s">
        <v>1988</v>
      </c>
      <c r="B41" s="231" t="s">
        <v>2979</v>
      </c>
      <c r="C41" s="231" t="s">
        <v>56</v>
      </c>
      <c r="D41" s="231" t="s">
        <v>2904</v>
      </c>
      <c r="E41" s="315" t="s">
        <v>3039</v>
      </c>
      <c r="F41" s="619"/>
    </row>
    <row r="42" spans="1:6" ht="33" customHeight="1">
      <c r="A42" s="314" t="s">
        <v>1990</v>
      </c>
      <c r="B42" s="231" t="s">
        <v>2980</v>
      </c>
      <c r="C42" s="231" t="s">
        <v>56</v>
      </c>
      <c r="D42" s="231" t="s">
        <v>2904</v>
      </c>
      <c r="E42" s="315" t="s">
        <v>3040</v>
      </c>
      <c r="F42" s="619"/>
    </row>
    <row r="43" spans="1:6" ht="51">
      <c r="A43" s="314" t="s">
        <v>2236</v>
      </c>
      <c r="B43" s="231" t="s">
        <v>2981</v>
      </c>
      <c r="C43" s="316" t="s">
        <v>17</v>
      </c>
      <c r="D43" s="231" t="s">
        <v>2904</v>
      </c>
      <c r="E43" s="315" t="s">
        <v>3041</v>
      </c>
      <c r="F43" s="695" t="s">
        <v>2345</v>
      </c>
    </row>
    <row r="44" spans="1:6" ht="51">
      <c r="A44" s="314" t="s">
        <v>2346</v>
      </c>
      <c r="B44" s="231" t="s">
        <v>2982</v>
      </c>
      <c r="C44" s="231" t="s">
        <v>17</v>
      </c>
      <c r="D44" s="231" t="s">
        <v>2904</v>
      </c>
      <c r="E44" s="315" t="s">
        <v>3042</v>
      </c>
      <c r="F44" s="619"/>
    </row>
    <row r="45" spans="1:6" ht="43.5" customHeight="1">
      <c r="A45" s="314" t="s">
        <v>2347</v>
      </c>
      <c r="B45" s="607" t="s">
        <v>2909</v>
      </c>
      <c r="C45" s="231" t="s">
        <v>17</v>
      </c>
      <c r="D45" s="231" t="s">
        <v>2904</v>
      </c>
      <c r="E45" s="315" t="s">
        <v>3043</v>
      </c>
      <c r="F45" s="695" t="s">
        <v>2345</v>
      </c>
    </row>
    <row r="46" spans="1:6" ht="38.25">
      <c r="A46" s="314" t="s">
        <v>2348</v>
      </c>
      <c r="B46" s="231" t="s">
        <v>2983</v>
      </c>
      <c r="C46" s="318" t="s">
        <v>2336</v>
      </c>
      <c r="D46" s="231" t="s">
        <v>2904</v>
      </c>
      <c r="E46" s="315" t="s">
        <v>3044</v>
      </c>
      <c r="F46" s="619"/>
    </row>
    <row r="47" spans="1:6" ht="25.5">
      <c r="A47" s="314" t="s">
        <v>2349</v>
      </c>
      <c r="B47" s="318" t="s">
        <v>2923</v>
      </c>
      <c r="C47" s="318" t="s">
        <v>18</v>
      </c>
      <c r="D47" s="318"/>
      <c r="E47" s="315"/>
      <c r="F47" s="619"/>
    </row>
    <row r="48" spans="1:6" ht="45" customHeight="1">
      <c r="A48" s="319" t="s">
        <v>2351</v>
      </c>
      <c r="B48" s="320" t="s">
        <v>2984</v>
      </c>
      <c r="C48" s="320" t="s">
        <v>17</v>
      </c>
      <c r="D48" s="291" t="s">
        <v>2904</v>
      </c>
      <c r="E48" s="322" t="s">
        <v>3045</v>
      </c>
      <c r="F48" s="720" t="s">
        <v>2365</v>
      </c>
    </row>
    <row r="49" spans="1:6" ht="45" customHeight="1">
      <c r="A49" s="319" t="s">
        <v>2352</v>
      </c>
      <c r="B49" s="320" t="s">
        <v>2985</v>
      </c>
      <c r="C49" s="320" t="s">
        <v>17</v>
      </c>
      <c r="D49" s="291" t="s">
        <v>2904</v>
      </c>
      <c r="E49" s="322" t="s">
        <v>3046</v>
      </c>
      <c r="F49" s="720" t="s">
        <v>2365</v>
      </c>
    </row>
    <row r="50" spans="1:6" ht="45" customHeight="1">
      <c r="A50" s="319" t="s">
        <v>2353</v>
      </c>
      <c r="B50" s="320" t="s">
        <v>2986</v>
      </c>
      <c r="C50" s="320" t="s">
        <v>17</v>
      </c>
      <c r="D50" s="291" t="s">
        <v>2904</v>
      </c>
      <c r="E50" s="322" t="s">
        <v>3047</v>
      </c>
      <c r="F50" s="720" t="s">
        <v>2365</v>
      </c>
    </row>
    <row r="51" spans="1:6" ht="45" customHeight="1">
      <c r="A51" s="319" t="s">
        <v>2354</v>
      </c>
      <c r="B51" s="320" t="s">
        <v>2987</v>
      </c>
      <c r="C51" s="320" t="s">
        <v>17</v>
      </c>
      <c r="D51" s="291" t="s">
        <v>2904</v>
      </c>
      <c r="E51" s="322" t="s">
        <v>3048</v>
      </c>
      <c r="F51" s="720" t="s">
        <v>2365</v>
      </c>
    </row>
    <row r="52" spans="1:6" ht="45" customHeight="1">
      <c r="A52" s="319" t="s">
        <v>2355</v>
      </c>
      <c r="B52" s="320" t="s">
        <v>2988</v>
      </c>
      <c r="C52" s="320" t="s">
        <v>17</v>
      </c>
      <c r="D52" s="291" t="s">
        <v>2904</v>
      </c>
      <c r="E52" s="322" t="s">
        <v>3049</v>
      </c>
      <c r="F52" s="720" t="s">
        <v>2365</v>
      </c>
    </row>
    <row r="53" spans="1:6" ht="45" customHeight="1">
      <c r="A53" s="319" t="s">
        <v>2356</v>
      </c>
      <c r="B53" s="320" t="s">
        <v>2989</v>
      </c>
      <c r="C53" s="321" t="s">
        <v>17</v>
      </c>
      <c r="D53" s="291" t="s">
        <v>2904</v>
      </c>
      <c r="E53" s="322" t="s">
        <v>3050</v>
      </c>
      <c r="F53" s="720" t="s">
        <v>2365</v>
      </c>
    </row>
    <row r="54" spans="1:6" ht="25.5">
      <c r="A54" s="319" t="s">
        <v>2357</v>
      </c>
      <c r="B54" s="606" t="s">
        <v>2990</v>
      </c>
      <c r="C54" s="321" t="s">
        <v>56</v>
      </c>
      <c r="D54" s="291" t="s">
        <v>2904</v>
      </c>
      <c r="E54" s="322" t="s">
        <v>3051</v>
      </c>
      <c r="F54" s="619"/>
    </row>
    <row r="55" spans="1:6" ht="45" customHeight="1">
      <c r="A55" s="319" t="s">
        <v>2358</v>
      </c>
      <c r="B55" s="320" t="s">
        <v>2996</v>
      </c>
      <c r="C55" s="321" t="s">
        <v>56</v>
      </c>
      <c r="D55" s="291" t="s">
        <v>2907</v>
      </c>
      <c r="E55" s="322" t="s">
        <v>3052</v>
      </c>
      <c r="F55" s="619"/>
    </row>
    <row r="56" spans="1:6" ht="45" customHeight="1">
      <c r="A56" s="319" t="s">
        <v>2359</v>
      </c>
      <c r="B56" s="320" t="s">
        <v>3053</v>
      </c>
      <c r="C56" s="321" t="s">
        <v>56</v>
      </c>
      <c r="D56" s="291" t="s">
        <v>2907</v>
      </c>
      <c r="E56" s="322" t="s">
        <v>2912</v>
      </c>
      <c r="F56" s="619"/>
    </row>
    <row r="57" spans="1:6" ht="45" customHeight="1">
      <c r="A57" s="319" t="s">
        <v>2360</v>
      </c>
      <c r="B57" s="320" t="s">
        <v>2991</v>
      </c>
      <c r="C57" s="321" t="s">
        <v>56</v>
      </c>
      <c r="D57" s="291" t="s">
        <v>2904</v>
      </c>
      <c r="E57" s="322" t="s">
        <v>2992</v>
      </c>
      <c r="F57" s="619"/>
    </row>
    <row r="58" spans="1:6" ht="45" customHeight="1">
      <c r="A58" s="319" t="s">
        <v>2361</v>
      </c>
      <c r="B58" s="323" t="s">
        <v>2924</v>
      </c>
      <c r="C58" s="323" t="s">
        <v>18</v>
      </c>
      <c r="D58" s="323"/>
      <c r="E58" s="324"/>
      <c r="F58" s="621"/>
    </row>
    <row r="59" spans="1:6" ht="45" customHeight="1">
      <c r="A59" s="610" t="s">
        <v>2362</v>
      </c>
      <c r="B59" s="609" t="s">
        <v>2993</v>
      </c>
      <c r="C59" s="609" t="s">
        <v>56</v>
      </c>
      <c r="D59" s="609" t="s">
        <v>2904</v>
      </c>
      <c r="E59" s="608" t="s">
        <v>2914</v>
      </c>
      <c r="F59" s="621"/>
    </row>
    <row r="60" spans="1:6" ht="45" customHeight="1">
      <c r="A60" s="610" t="s">
        <v>2366</v>
      </c>
      <c r="B60" s="609" t="s">
        <v>2994</v>
      </c>
      <c r="C60" s="609" t="s">
        <v>56</v>
      </c>
      <c r="D60" s="609" t="s">
        <v>2904</v>
      </c>
      <c r="E60" s="608" t="s">
        <v>2914</v>
      </c>
      <c r="F60" s="621"/>
    </row>
    <row r="61" spans="1:6" ht="45" customHeight="1">
      <c r="A61" s="610" t="s">
        <v>2367</v>
      </c>
      <c r="B61" s="609" t="s">
        <v>2995</v>
      </c>
      <c r="C61" s="609" t="s">
        <v>17</v>
      </c>
      <c r="D61" s="609" t="s">
        <v>2904</v>
      </c>
      <c r="E61" s="608" t="s">
        <v>2914</v>
      </c>
      <c r="F61" s="621"/>
    </row>
    <row r="62" spans="1:6" ht="45" customHeight="1">
      <c r="A62" s="610" t="s">
        <v>2369</v>
      </c>
      <c r="B62" s="609" t="s">
        <v>2913</v>
      </c>
      <c r="C62" s="609" t="s">
        <v>56</v>
      </c>
      <c r="D62" s="609" t="s">
        <v>2904</v>
      </c>
      <c r="E62" s="608" t="s">
        <v>2914</v>
      </c>
      <c r="F62" s="621"/>
    </row>
    <row r="63" spans="1:6" ht="45" customHeight="1">
      <c r="A63" s="612" t="s">
        <v>2371</v>
      </c>
      <c r="B63" s="613" t="s">
        <v>2915</v>
      </c>
      <c r="C63" s="613" t="s">
        <v>56</v>
      </c>
      <c r="D63" s="613" t="s">
        <v>2904</v>
      </c>
      <c r="E63" s="614" t="s">
        <v>2919</v>
      </c>
      <c r="F63" s="621"/>
    </row>
    <row r="64" spans="1:6" ht="45" customHeight="1">
      <c r="A64" s="611" t="s">
        <v>2372</v>
      </c>
      <c r="B64" s="617" t="s">
        <v>2916</v>
      </c>
      <c r="C64" s="617" t="s">
        <v>2336</v>
      </c>
      <c r="D64" s="617" t="s">
        <v>2904</v>
      </c>
      <c r="E64" s="615"/>
      <c r="F64" s="621"/>
    </row>
    <row r="65" spans="1:6" ht="45" customHeight="1">
      <c r="A65" s="611" t="s">
        <v>2373</v>
      </c>
      <c r="B65" s="617" t="s">
        <v>2917</v>
      </c>
      <c r="C65" s="617" t="s">
        <v>18</v>
      </c>
      <c r="D65" s="617" t="s">
        <v>2904</v>
      </c>
      <c r="E65" s="616"/>
      <c r="F65" s="621"/>
    </row>
    <row r="66" spans="1:6" ht="45" customHeight="1">
      <c r="A66" s="611" t="s">
        <v>2473</v>
      </c>
      <c r="B66" s="617" t="s">
        <v>2918</v>
      </c>
      <c r="C66" s="617" t="s">
        <v>18</v>
      </c>
      <c r="D66" s="617" t="s">
        <v>2904</v>
      </c>
      <c r="E66" s="616"/>
      <c r="F66" s="621"/>
    </row>
    <row r="69" spans="1:6" ht="45" customHeight="1">
      <c r="B69" s="325" t="s">
        <v>1626</v>
      </c>
    </row>
  </sheetData>
  <autoFilter ref="A2:F58" xr:uid="{00000000-0009-0000-0000-000004000000}"/>
  <mergeCells count="1">
    <mergeCell ref="A1:E1"/>
  </mergeCells>
  <pageMargins left="0.25" right="0.25" top="0" bottom="0" header="0.3" footer="0.3"/>
  <pageSetup scale="60" orientation="portrait" r:id="rId1"/>
  <rowBreaks count="3" manualBreakCount="3">
    <brk id="24" max="5" man="1"/>
    <brk id="42" max="5" man="1"/>
    <brk id="64"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4"/>
  <sheetViews>
    <sheetView topLeftCell="A14" zoomScale="110" zoomScaleNormal="110" zoomScaleSheetLayoutView="91" workbookViewId="0">
      <selection activeCell="C19" sqref="C19"/>
    </sheetView>
  </sheetViews>
  <sheetFormatPr defaultColWidth="8" defaultRowHeight="45" customHeight="1"/>
  <cols>
    <col min="1" max="1" width="6.125" style="303" customWidth="1"/>
    <col min="2" max="2" width="40.25" style="333" customWidth="1"/>
    <col min="3" max="3" width="11.625" style="326" customWidth="1"/>
    <col min="4" max="4" width="16.625" style="326" hidden="1" customWidth="1"/>
    <col min="5" max="5" width="13.25" style="326" bestFit="1" customWidth="1"/>
    <col min="6" max="6" width="65.25" style="332" customWidth="1"/>
    <col min="7" max="7" width="21.125" style="212" customWidth="1"/>
    <col min="8" max="8" width="20.875" style="212" customWidth="1"/>
    <col min="9" max="9" width="57.375" style="211" bestFit="1" customWidth="1"/>
    <col min="10" max="16384" width="8" style="327"/>
  </cols>
  <sheetData>
    <row r="1" spans="1:9" ht="45" customHeight="1">
      <c r="A1" s="923"/>
      <c r="B1" s="923"/>
      <c r="C1" s="923"/>
      <c r="D1" s="923"/>
      <c r="E1" s="923"/>
      <c r="F1" s="923"/>
      <c r="G1" s="210" t="s">
        <v>46</v>
      </c>
      <c r="H1" s="210" t="s">
        <v>46</v>
      </c>
    </row>
    <row r="2" spans="1:9" s="328" customFormat="1" ht="56.25" customHeight="1">
      <c r="A2" s="304" t="s">
        <v>47</v>
      </c>
      <c r="B2" s="279" t="s">
        <v>2314</v>
      </c>
      <c r="C2" s="305" t="s">
        <v>2315</v>
      </c>
      <c r="D2" s="305" t="s">
        <v>2316</v>
      </c>
      <c r="E2" s="305" t="s">
        <v>2317</v>
      </c>
      <c r="F2" s="305" t="s">
        <v>48</v>
      </c>
      <c r="G2" s="213" t="s">
        <v>49</v>
      </c>
      <c r="H2" s="214" t="s">
        <v>50</v>
      </c>
      <c r="I2" s="215" t="s">
        <v>2391</v>
      </c>
    </row>
    <row r="3" spans="1:9" ht="36" customHeight="1">
      <c r="A3" s="307" t="s">
        <v>0</v>
      </c>
      <c r="B3" s="278" t="s">
        <v>2393</v>
      </c>
      <c r="C3" s="308" t="s">
        <v>16</v>
      </c>
      <c r="D3" s="308"/>
      <c r="E3" s="308" t="s">
        <v>2319</v>
      </c>
      <c r="F3" s="276" t="s">
        <v>2393</v>
      </c>
      <c r="G3" s="216"/>
      <c r="H3" s="217"/>
      <c r="I3" s="218"/>
    </row>
    <row r="4" spans="1:9" ht="36" customHeight="1">
      <c r="A4" s="307" t="s">
        <v>1</v>
      </c>
      <c r="B4" s="278" t="s">
        <v>2394</v>
      </c>
      <c r="C4" s="308" t="s">
        <v>16</v>
      </c>
      <c r="D4" s="308"/>
      <c r="E4" s="308" t="s">
        <v>2319</v>
      </c>
      <c r="F4" s="276" t="s">
        <v>2477</v>
      </c>
      <c r="G4" s="216"/>
      <c r="H4" s="217"/>
      <c r="I4" s="218"/>
    </row>
    <row r="5" spans="1:9" ht="36" customHeight="1">
      <c r="A5" s="307" t="s">
        <v>2</v>
      </c>
      <c r="B5" s="278" t="s">
        <v>2395</v>
      </c>
      <c r="C5" s="308" t="s">
        <v>16</v>
      </c>
      <c r="D5" s="308"/>
      <c r="E5" s="308" t="s">
        <v>2319</v>
      </c>
      <c r="F5" s="276" t="s">
        <v>2395</v>
      </c>
      <c r="G5" s="216"/>
      <c r="H5" s="217"/>
      <c r="I5" s="218"/>
    </row>
    <row r="6" spans="1:9" ht="36" customHeight="1">
      <c r="A6" s="307" t="s">
        <v>3</v>
      </c>
      <c r="B6" s="278" t="s">
        <v>2396</v>
      </c>
      <c r="C6" s="308" t="s">
        <v>18</v>
      </c>
      <c r="D6" s="308"/>
      <c r="E6" s="308" t="s">
        <v>2319</v>
      </c>
      <c r="F6" s="276" t="s">
        <v>2476</v>
      </c>
      <c r="G6" s="216"/>
      <c r="H6" s="217"/>
      <c r="I6" s="218"/>
    </row>
    <row r="7" spans="1:9" ht="36" customHeight="1">
      <c r="A7" s="307" t="s">
        <v>4</v>
      </c>
      <c r="B7" s="278" t="s">
        <v>2397</v>
      </c>
      <c r="C7" s="308" t="s">
        <v>16</v>
      </c>
      <c r="D7" s="308"/>
      <c r="E7" s="308" t="s">
        <v>2319</v>
      </c>
      <c r="F7" s="276" t="s">
        <v>2397</v>
      </c>
      <c r="G7" s="216"/>
      <c r="H7" s="217"/>
      <c r="I7" s="218"/>
    </row>
    <row r="8" spans="1:9" ht="36" customHeight="1">
      <c r="A8" s="307" t="s">
        <v>1154</v>
      </c>
      <c r="B8" s="278" t="s">
        <v>2398</v>
      </c>
      <c r="C8" s="308" t="s">
        <v>16</v>
      </c>
      <c r="D8" s="308"/>
      <c r="E8" s="308" t="s">
        <v>2319</v>
      </c>
      <c r="F8" s="276" t="s">
        <v>2398</v>
      </c>
      <c r="G8" s="216"/>
      <c r="H8" s="217"/>
      <c r="I8" s="218"/>
    </row>
    <row r="9" spans="1:9" ht="45" customHeight="1">
      <c r="A9" s="307" t="s">
        <v>5</v>
      </c>
      <c r="B9" s="278" t="s">
        <v>2399</v>
      </c>
      <c r="C9" s="308" t="s">
        <v>2469</v>
      </c>
      <c r="D9" s="308"/>
      <c r="E9" s="308" t="s">
        <v>2319</v>
      </c>
      <c r="F9" s="276" t="s">
        <v>2399</v>
      </c>
      <c r="G9" s="216"/>
      <c r="H9" s="217"/>
      <c r="I9" s="218"/>
    </row>
    <row r="10" spans="1:9" ht="45" customHeight="1">
      <c r="A10" s="307" t="s">
        <v>6</v>
      </c>
      <c r="B10" s="278" t="s">
        <v>2400</v>
      </c>
      <c r="C10" s="308" t="s">
        <v>16</v>
      </c>
      <c r="D10" s="308"/>
      <c r="E10" s="308" t="s">
        <v>2319</v>
      </c>
      <c r="F10" s="276" t="s">
        <v>2400</v>
      </c>
      <c r="G10" s="216"/>
      <c r="H10" s="217"/>
      <c r="I10" s="218"/>
    </row>
    <row r="11" spans="1:9" ht="37.5" customHeight="1">
      <c r="A11" s="307" t="s">
        <v>51</v>
      </c>
      <c r="B11" s="278" t="s">
        <v>2442</v>
      </c>
      <c r="C11" s="308" t="s">
        <v>17</v>
      </c>
      <c r="D11" s="308"/>
      <c r="E11" s="308" t="s">
        <v>2319</v>
      </c>
      <c r="F11" s="276" t="s">
        <v>2478</v>
      </c>
      <c r="G11" s="216"/>
      <c r="H11" s="217"/>
      <c r="I11" s="218"/>
    </row>
    <row r="12" spans="1:9" ht="37.5" customHeight="1">
      <c r="A12" s="307" t="s">
        <v>52</v>
      </c>
      <c r="B12" s="278" t="s">
        <v>2441</v>
      </c>
      <c r="C12" s="308" t="s">
        <v>17</v>
      </c>
      <c r="D12" s="308"/>
      <c r="E12" s="308" t="s">
        <v>2319</v>
      </c>
      <c r="F12" s="276" t="s">
        <v>2479</v>
      </c>
      <c r="G12" s="216"/>
      <c r="H12" s="217"/>
      <c r="I12" s="218"/>
    </row>
    <row r="13" spans="1:9" ht="37.5" customHeight="1">
      <c r="A13" s="307" t="s">
        <v>55</v>
      </c>
      <c r="B13" s="278" t="s">
        <v>2401</v>
      </c>
      <c r="C13" s="308" t="s">
        <v>19</v>
      </c>
      <c r="D13" s="308"/>
      <c r="E13" s="308" t="s">
        <v>2319</v>
      </c>
      <c r="F13" s="276" t="s">
        <v>2401</v>
      </c>
      <c r="G13" s="216"/>
      <c r="H13" s="217"/>
      <c r="I13" s="218"/>
    </row>
    <row r="14" spans="1:9" ht="37.5" customHeight="1">
      <c r="A14" s="307" t="s">
        <v>57</v>
      </c>
      <c r="B14" s="278" t="s">
        <v>2402</v>
      </c>
      <c r="C14" s="308" t="s">
        <v>19</v>
      </c>
      <c r="D14" s="308"/>
      <c r="E14" s="308" t="s">
        <v>2319</v>
      </c>
      <c r="F14" s="276" t="s">
        <v>2402</v>
      </c>
      <c r="G14" s="216"/>
      <c r="H14" s="217"/>
      <c r="I14" s="218"/>
    </row>
    <row r="15" spans="1:9" ht="45" customHeight="1">
      <c r="A15" s="307" t="s">
        <v>59</v>
      </c>
      <c r="B15" s="278" t="s">
        <v>2504</v>
      </c>
      <c r="C15" s="308" t="s">
        <v>17</v>
      </c>
      <c r="D15" s="308"/>
      <c r="E15" s="308" t="s">
        <v>2467</v>
      </c>
      <c r="F15" s="276" t="s">
        <v>2504</v>
      </c>
      <c r="G15" s="216"/>
      <c r="H15" s="217"/>
      <c r="I15" s="218"/>
    </row>
    <row r="16" spans="1:9" ht="45" customHeight="1">
      <c r="A16" s="307" t="s">
        <v>115</v>
      </c>
      <c r="B16" s="278" t="s">
        <v>1992</v>
      </c>
      <c r="C16" s="308" t="s">
        <v>17</v>
      </c>
      <c r="D16" s="308"/>
      <c r="E16" s="308" t="s">
        <v>298</v>
      </c>
      <c r="F16" s="276" t="s">
        <v>2403</v>
      </c>
      <c r="G16" s="216"/>
      <c r="H16" s="217"/>
      <c r="I16" s="218"/>
    </row>
    <row r="17" spans="1:9" ht="45" customHeight="1">
      <c r="A17" s="307" t="s">
        <v>116</v>
      </c>
      <c r="B17" s="278" t="s">
        <v>2404</v>
      </c>
      <c r="C17" s="308" t="s">
        <v>17</v>
      </c>
      <c r="D17" s="308"/>
      <c r="E17" s="308" t="s">
        <v>298</v>
      </c>
      <c r="F17" s="276" t="s">
        <v>2405</v>
      </c>
      <c r="G17" s="216"/>
      <c r="H17" s="217"/>
      <c r="I17" s="218"/>
    </row>
    <row r="18" spans="1:9" ht="40.5">
      <c r="A18" s="307" t="s">
        <v>61</v>
      </c>
      <c r="B18" s="278" t="s">
        <v>2406</v>
      </c>
      <c r="C18" s="308" t="s">
        <v>17</v>
      </c>
      <c r="D18" s="308" t="s">
        <v>2494</v>
      </c>
      <c r="E18" s="308" t="s">
        <v>2319</v>
      </c>
      <c r="F18" s="276" t="s">
        <v>2407</v>
      </c>
      <c r="G18" s="216"/>
      <c r="H18" s="217"/>
      <c r="I18" s="218"/>
    </row>
    <row r="19" spans="1:9" ht="45" customHeight="1">
      <c r="A19" s="307" t="s">
        <v>60</v>
      </c>
      <c r="B19" s="278" t="s">
        <v>2408</v>
      </c>
      <c r="C19" s="308" t="s">
        <v>2336</v>
      </c>
      <c r="D19" s="308"/>
      <c r="E19" s="308" t="s">
        <v>2319</v>
      </c>
      <c r="F19" s="276" t="s">
        <v>2480</v>
      </c>
      <c r="G19" s="216"/>
      <c r="H19" s="217"/>
      <c r="I19" s="218"/>
    </row>
    <row r="20" spans="1:9" ht="36" customHeight="1">
      <c r="A20" s="307" t="s">
        <v>62</v>
      </c>
      <c r="B20" s="278" t="s">
        <v>2409</v>
      </c>
      <c r="C20" s="308" t="s">
        <v>17</v>
      </c>
      <c r="D20" s="308"/>
      <c r="E20" s="308" t="s">
        <v>2319</v>
      </c>
      <c r="F20" s="276" t="s">
        <v>2482</v>
      </c>
      <c r="G20" s="216"/>
      <c r="H20" s="217"/>
      <c r="I20" s="218"/>
    </row>
    <row r="21" spans="1:9" ht="35.25" customHeight="1">
      <c r="A21" s="307" t="s">
        <v>1155</v>
      </c>
      <c r="B21" s="278" t="s">
        <v>2410</v>
      </c>
      <c r="C21" s="308" t="s">
        <v>17</v>
      </c>
      <c r="D21" s="308"/>
      <c r="E21" s="308" t="s">
        <v>2319</v>
      </c>
      <c r="F21" s="276" t="s">
        <v>2481</v>
      </c>
      <c r="G21" s="216"/>
      <c r="H21" s="217"/>
      <c r="I21" s="218"/>
    </row>
    <row r="22" spans="1:9" ht="52.5" customHeight="1">
      <c r="A22" s="310" t="s">
        <v>64</v>
      </c>
      <c r="B22" s="268" t="s">
        <v>2470</v>
      </c>
      <c r="C22" s="219" t="s">
        <v>17</v>
      </c>
      <c r="D22" s="219"/>
      <c r="E22" s="219" t="s">
        <v>2319</v>
      </c>
      <c r="F22" s="266" t="s">
        <v>2483</v>
      </c>
      <c r="G22" s="220" t="s">
        <v>58</v>
      </c>
      <c r="H22" s="221" t="s">
        <v>58</v>
      </c>
      <c r="I22" s="222" t="s">
        <v>2340</v>
      </c>
    </row>
    <row r="23" spans="1:9" ht="45" customHeight="1">
      <c r="A23" s="310" t="s">
        <v>65</v>
      </c>
      <c r="B23" s="268" t="s">
        <v>2447</v>
      </c>
      <c r="C23" s="219" t="s">
        <v>17</v>
      </c>
      <c r="D23" s="219"/>
      <c r="E23" s="219" t="s">
        <v>2319</v>
      </c>
      <c r="F23" s="266" t="s">
        <v>2447</v>
      </c>
      <c r="G23" s="216"/>
      <c r="H23" s="217"/>
      <c r="I23" s="218"/>
    </row>
    <row r="24" spans="1:9" ht="45" customHeight="1">
      <c r="A24" s="310" t="s">
        <v>66</v>
      </c>
      <c r="B24" s="268" t="s">
        <v>2448</v>
      </c>
      <c r="C24" s="219" t="s">
        <v>17</v>
      </c>
      <c r="D24" s="219"/>
      <c r="E24" s="219" t="s">
        <v>2319</v>
      </c>
      <c r="F24" s="269" t="s">
        <v>2449</v>
      </c>
      <c r="G24" s="216"/>
      <c r="H24" s="217"/>
      <c r="I24" s="218"/>
    </row>
    <row r="25" spans="1:9" ht="60.75">
      <c r="A25" s="310" t="s">
        <v>67</v>
      </c>
      <c r="B25" s="270" t="s">
        <v>2505</v>
      </c>
      <c r="C25" s="223" t="s">
        <v>17</v>
      </c>
      <c r="D25" s="219"/>
      <c r="E25" s="223" t="s">
        <v>2319</v>
      </c>
      <c r="F25" s="267" t="s">
        <v>2471</v>
      </c>
      <c r="G25" s="220" t="s">
        <v>58</v>
      </c>
      <c r="H25" s="221" t="s">
        <v>58</v>
      </c>
      <c r="I25" s="222" t="s">
        <v>2340</v>
      </c>
    </row>
    <row r="26" spans="1:9" ht="54" customHeight="1">
      <c r="A26" s="310" t="s">
        <v>69</v>
      </c>
      <c r="B26" s="268" t="s">
        <v>2472</v>
      </c>
      <c r="C26" s="223" t="s">
        <v>17</v>
      </c>
      <c r="D26" s="219"/>
      <c r="E26" s="223" t="s">
        <v>2319</v>
      </c>
      <c r="F26" s="269" t="s">
        <v>2435</v>
      </c>
      <c r="G26" s="216"/>
      <c r="H26" s="217"/>
      <c r="I26" s="218"/>
    </row>
    <row r="27" spans="1:9" ht="90">
      <c r="A27" s="310" t="s">
        <v>1156</v>
      </c>
      <c r="B27" s="270" t="s">
        <v>2506</v>
      </c>
      <c r="C27" s="223" t="s">
        <v>17</v>
      </c>
      <c r="D27" s="219"/>
      <c r="E27" s="223" t="s">
        <v>2319</v>
      </c>
      <c r="F27" s="270" t="s">
        <v>2506</v>
      </c>
      <c r="G27" s="216"/>
      <c r="H27" s="217"/>
      <c r="I27" s="218"/>
    </row>
    <row r="28" spans="1:9" ht="90">
      <c r="A28" s="310" t="s">
        <v>68</v>
      </c>
      <c r="B28" s="268" t="s">
        <v>2507</v>
      </c>
      <c r="C28" s="223" t="s">
        <v>17</v>
      </c>
      <c r="D28" s="219"/>
      <c r="E28" s="223" t="s">
        <v>2319</v>
      </c>
      <c r="F28" s="268" t="s">
        <v>2507</v>
      </c>
      <c r="G28" s="216"/>
      <c r="H28" s="217"/>
      <c r="I28" s="218"/>
    </row>
    <row r="29" spans="1:9" ht="55.5" customHeight="1">
      <c r="A29" s="310" t="s">
        <v>70</v>
      </c>
      <c r="B29" s="270" t="s">
        <v>2484</v>
      </c>
      <c r="C29" s="223" t="s">
        <v>2498</v>
      </c>
      <c r="D29" s="223" t="s">
        <v>2466</v>
      </c>
      <c r="E29" s="223" t="s">
        <v>2319</v>
      </c>
      <c r="F29" s="267" t="s">
        <v>2436</v>
      </c>
      <c r="G29" s="220" t="s">
        <v>58</v>
      </c>
      <c r="H29" s="220" t="s">
        <v>58</v>
      </c>
      <c r="I29" s="222" t="s">
        <v>2340</v>
      </c>
    </row>
    <row r="30" spans="1:9" ht="51.75" customHeight="1">
      <c r="A30" s="310" t="s">
        <v>71</v>
      </c>
      <c r="B30" s="270" t="s">
        <v>2489</v>
      </c>
      <c r="C30" s="223" t="s">
        <v>2498</v>
      </c>
      <c r="D30" s="223"/>
      <c r="E30" s="223" t="s">
        <v>2319</v>
      </c>
      <c r="F30" s="267" t="s">
        <v>2450</v>
      </c>
      <c r="G30" s="292"/>
      <c r="H30" s="217"/>
      <c r="I30" s="218"/>
    </row>
    <row r="31" spans="1:9" ht="69" customHeight="1">
      <c r="A31" s="310" t="s">
        <v>1290</v>
      </c>
      <c r="B31" s="270" t="s">
        <v>2508</v>
      </c>
      <c r="C31" s="223" t="s">
        <v>2498</v>
      </c>
      <c r="D31" s="223"/>
      <c r="E31" s="223" t="s">
        <v>2319</v>
      </c>
      <c r="F31" s="267" t="s">
        <v>2451</v>
      </c>
      <c r="G31" s="293"/>
      <c r="H31" s="283"/>
      <c r="I31" s="284"/>
    </row>
    <row r="32" spans="1:9" s="330" customFormat="1" ht="61.9" customHeight="1">
      <c r="A32" s="329" t="s">
        <v>1291</v>
      </c>
      <c r="B32" s="270" t="s">
        <v>2411</v>
      </c>
      <c r="C32" s="223" t="s">
        <v>2443</v>
      </c>
      <c r="D32" s="219" t="s">
        <v>2499</v>
      </c>
      <c r="E32" s="223" t="s">
        <v>2467</v>
      </c>
      <c r="F32" s="269" t="s">
        <v>2412</v>
      </c>
      <c r="G32" s="285" t="s">
        <v>58</v>
      </c>
      <c r="H32" s="286" t="s">
        <v>58</v>
      </c>
      <c r="I32" s="287" t="s">
        <v>2340</v>
      </c>
    </row>
    <row r="33" spans="1:9" s="330" customFormat="1" ht="60.75" customHeight="1">
      <c r="A33" s="329" t="s">
        <v>1292</v>
      </c>
      <c r="B33" s="270" t="s">
        <v>2464</v>
      </c>
      <c r="C33" s="294" t="s">
        <v>17</v>
      </c>
      <c r="D33" s="219" t="s">
        <v>2339</v>
      </c>
      <c r="E33" s="294" t="s">
        <v>298</v>
      </c>
      <c r="F33" s="290" t="s">
        <v>2413</v>
      </c>
      <c r="G33" s="285" t="s">
        <v>2341</v>
      </c>
      <c r="H33" s="286" t="s">
        <v>2341</v>
      </c>
      <c r="I33" s="287" t="s">
        <v>2340</v>
      </c>
    </row>
    <row r="34" spans="1:9" s="330" customFormat="1" ht="61.5" customHeight="1">
      <c r="A34" s="329" t="s">
        <v>1293</v>
      </c>
      <c r="B34" s="270" t="s">
        <v>2509</v>
      </c>
      <c r="C34" s="294" t="s">
        <v>2443</v>
      </c>
      <c r="D34" s="219" t="s">
        <v>2339</v>
      </c>
      <c r="E34" s="294" t="s">
        <v>2319</v>
      </c>
      <c r="F34" s="290" t="s">
        <v>2510</v>
      </c>
      <c r="G34" s="285" t="s">
        <v>2341</v>
      </c>
      <c r="H34" s="286" t="s">
        <v>2342</v>
      </c>
      <c r="I34" s="287" t="s">
        <v>2340</v>
      </c>
    </row>
    <row r="35" spans="1:9" s="330" customFormat="1" ht="61.5" customHeight="1">
      <c r="A35" s="329" t="s">
        <v>1294</v>
      </c>
      <c r="B35" s="270" t="s">
        <v>2511</v>
      </c>
      <c r="C35" s="311" t="s">
        <v>17</v>
      </c>
      <c r="D35" s="312"/>
      <c r="E35" s="313" t="s">
        <v>298</v>
      </c>
      <c r="F35" s="270" t="s">
        <v>2511</v>
      </c>
      <c r="G35" s="224"/>
      <c r="H35" s="225"/>
      <c r="I35" s="236"/>
    </row>
    <row r="36" spans="1:9" s="330" customFormat="1" ht="55.15" customHeight="1">
      <c r="A36" s="329" t="s">
        <v>1295</v>
      </c>
      <c r="B36" s="270" t="s">
        <v>2512</v>
      </c>
      <c r="C36" s="313" t="s">
        <v>17</v>
      </c>
      <c r="D36" s="313"/>
      <c r="E36" s="313" t="s">
        <v>298</v>
      </c>
      <c r="F36" s="290" t="s">
        <v>2513</v>
      </c>
      <c r="G36" s="224"/>
      <c r="H36" s="225"/>
      <c r="I36" s="236"/>
    </row>
    <row r="37" spans="1:9" s="330" customFormat="1" ht="45" customHeight="1">
      <c r="A37" s="329" t="s">
        <v>1296</v>
      </c>
      <c r="B37" s="270" t="s">
        <v>2453</v>
      </c>
      <c r="C37" s="226" t="s">
        <v>17</v>
      </c>
      <c r="D37" s="226"/>
      <c r="E37" s="226" t="s">
        <v>2319</v>
      </c>
      <c r="F37" s="290" t="s">
        <v>2454</v>
      </c>
      <c r="G37" s="216"/>
      <c r="H37" s="217"/>
      <c r="I37" s="218"/>
    </row>
    <row r="38" spans="1:9" s="330" customFormat="1" ht="54">
      <c r="A38" s="329" t="s">
        <v>1297</v>
      </c>
      <c r="B38" s="270" t="s">
        <v>2452</v>
      </c>
      <c r="C38" s="226" t="s">
        <v>17</v>
      </c>
      <c r="D38" s="226"/>
      <c r="E38" s="226" t="s">
        <v>2319</v>
      </c>
      <c r="F38" s="290" t="s">
        <v>2452</v>
      </c>
      <c r="G38" s="216"/>
      <c r="H38" s="217"/>
      <c r="I38" s="218"/>
    </row>
    <row r="39" spans="1:9" s="330" customFormat="1" ht="45" customHeight="1">
      <c r="A39" s="329" t="s">
        <v>1298</v>
      </c>
      <c r="B39" s="270" t="s">
        <v>2457</v>
      </c>
      <c r="C39" s="227" t="s">
        <v>17</v>
      </c>
      <c r="D39" s="227"/>
      <c r="E39" s="226" t="s">
        <v>2319</v>
      </c>
      <c r="F39" s="290" t="s">
        <v>2455</v>
      </c>
      <c r="G39" s="216"/>
      <c r="H39" s="217"/>
      <c r="I39" s="218"/>
    </row>
    <row r="40" spans="1:9" s="330" customFormat="1" ht="62.45" customHeight="1">
      <c r="A40" s="329" t="s">
        <v>1299</v>
      </c>
      <c r="B40" s="270" t="s">
        <v>2458</v>
      </c>
      <c r="C40" s="227" t="s">
        <v>17</v>
      </c>
      <c r="D40" s="227"/>
      <c r="E40" s="226" t="s">
        <v>2319</v>
      </c>
      <c r="F40" s="290" t="s">
        <v>2456</v>
      </c>
      <c r="G40" s="216"/>
      <c r="H40" s="217"/>
      <c r="I40" s="218"/>
    </row>
    <row r="41" spans="1:9" ht="45" customHeight="1">
      <c r="A41" s="329" t="s">
        <v>1988</v>
      </c>
      <c r="B41" s="270" t="s">
        <v>2514</v>
      </c>
      <c r="C41" s="223" t="s">
        <v>17</v>
      </c>
      <c r="D41" s="223"/>
      <c r="E41" s="226" t="s">
        <v>2467</v>
      </c>
      <c r="F41" s="290" t="s">
        <v>2515</v>
      </c>
      <c r="G41" s="216"/>
      <c r="H41" s="217"/>
      <c r="I41" s="218"/>
    </row>
    <row r="42" spans="1:9" ht="45" customHeight="1">
      <c r="A42" s="329" t="s">
        <v>1990</v>
      </c>
      <c r="B42" s="270" t="s">
        <v>2516</v>
      </c>
      <c r="C42" s="288" t="s">
        <v>17</v>
      </c>
      <c r="D42" s="223"/>
      <c r="E42" s="226" t="s">
        <v>2467</v>
      </c>
      <c r="F42" s="290" t="s">
        <v>2517</v>
      </c>
      <c r="G42" s="216"/>
      <c r="H42" s="217"/>
      <c r="I42" s="218"/>
    </row>
    <row r="43" spans="1:9" ht="47.25" customHeight="1">
      <c r="A43" s="329" t="s">
        <v>2236</v>
      </c>
      <c r="B43" s="270" t="s">
        <v>2414</v>
      </c>
      <c r="C43" s="288" t="s">
        <v>18</v>
      </c>
      <c r="D43" s="288"/>
      <c r="E43" s="288" t="s">
        <v>2319</v>
      </c>
      <c r="F43" s="290" t="s">
        <v>2414</v>
      </c>
      <c r="G43" s="216"/>
      <c r="H43" s="217"/>
      <c r="I43" s="218"/>
    </row>
    <row r="44" spans="1:9" ht="87.6" customHeight="1">
      <c r="A44" s="314" t="s">
        <v>2346</v>
      </c>
      <c r="B44" s="271" t="s">
        <v>2485</v>
      </c>
      <c r="C44" s="231" t="s">
        <v>17</v>
      </c>
      <c r="D44" s="231"/>
      <c r="E44" s="231" t="s">
        <v>2319</v>
      </c>
      <c r="F44" s="272" t="s">
        <v>2465</v>
      </c>
      <c r="G44" s="228" t="s">
        <v>2343</v>
      </c>
      <c r="H44" s="229" t="s">
        <v>2344</v>
      </c>
      <c r="I44" s="230" t="s">
        <v>2345</v>
      </c>
    </row>
    <row r="45" spans="1:9" ht="51">
      <c r="A45" s="314" t="s">
        <v>2347</v>
      </c>
      <c r="B45" s="271" t="s">
        <v>2518</v>
      </c>
      <c r="C45" s="231" t="s">
        <v>17</v>
      </c>
      <c r="D45" s="231"/>
      <c r="E45" s="231" t="s">
        <v>2319</v>
      </c>
      <c r="F45" s="272" t="s">
        <v>2486</v>
      </c>
      <c r="G45" s="228" t="s">
        <v>2343</v>
      </c>
      <c r="H45" s="229" t="s">
        <v>2344</v>
      </c>
      <c r="I45" s="230" t="s">
        <v>2345</v>
      </c>
    </row>
    <row r="46" spans="1:9" ht="45" customHeight="1">
      <c r="A46" s="314" t="s">
        <v>2348</v>
      </c>
      <c r="B46" s="271" t="s">
        <v>2519</v>
      </c>
      <c r="C46" s="231" t="s">
        <v>18</v>
      </c>
      <c r="D46" s="231"/>
      <c r="E46" s="231" t="s">
        <v>2319</v>
      </c>
      <c r="F46" s="272" t="s">
        <v>2520</v>
      </c>
      <c r="G46" s="216"/>
      <c r="H46" s="217"/>
      <c r="I46" s="218"/>
    </row>
    <row r="47" spans="1:9" ht="72.75" customHeight="1">
      <c r="A47" s="314" t="s">
        <v>2349</v>
      </c>
      <c r="B47" s="271" t="s">
        <v>2521</v>
      </c>
      <c r="C47" s="231" t="s">
        <v>17</v>
      </c>
      <c r="D47" s="231"/>
      <c r="E47" s="231" t="s">
        <v>2319</v>
      </c>
      <c r="F47" s="272" t="s">
        <v>2522</v>
      </c>
      <c r="G47" s="216"/>
      <c r="H47" s="217"/>
      <c r="I47" s="218"/>
    </row>
    <row r="48" spans="1:9" ht="94.5" customHeight="1">
      <c r="A48" s="314" t="s">
        <v>2351</v>
      </c>
      <c r="B48" s="271" t="s">
        <v>2523</v>
      </c>
      <c r="C48" s="231" t="s">
        <v>17</v>
      </c>
      <c r="D48" s="231"/>
      <c r="E48" s="231" t="s">
        <v>2319</v>
      </c>
      <c r="F48" s="272" t="s">
        <v>2524</v>
      </c>
      <c r="G48" s="216"/>
      <c r="H48" s="217"/>
      <c r="I48" s="218"/>
    </row>
    <row r="49" spans="1:9" ht="54" customHeight="1">
      <c r="A49" s="314" t="s">
        <v>2352</v>
      </c>
      <c r="B49" s="271" t="s">
        <v>2459</v>
      </c>
      <c r="C49" s="231" t="s">
        <v>17</v>
      </c>
      <c r="D49" s="231"/>
      <c r="E49" s="231" t="s">
        <v>2319</v>
      </c>
      <c r="F49" s="272" t="s">
        <v>2460</v>
      </c>
      <c r="G49" s="228" t="s">
        <v>2350</v>
      </c>
      <c r="H49" s="229" t="s">
        <v>63</v>
      </c>
      <c r="I49" s="230" t="s">
        <v>2345</v>
      </c>
    </row>
    <row r="50" spans="1:9" ht="51">
      <c r="A50" s="314" t="s">
        <v>2353</v>
      </c>
      <c r="B50" s="271" t="s">
        <v>2462</v>
      </c>
      <c r="C50" s="316" t="s">
        <v>2498</v>
      </c>
      <c r="D50" s="316"/>
      <c r="E50" s="316" t="s">
        <v>298</v>
      </c>
      <c r="F50" s="272" t="s">
        <v>2461</v>
      </c>
      <c r="G50" s="228" t="s">
        <v>2343</v>
      </c>
      <c r="H50" s="229" t="s">
        <v>63</v>
      </c>
      <c r="I50" s="230" t="s">
        <v>2345</v>
      </c>
    </row>
    <row r="51" spans="1:9" ht="40.5">
      <c r="A51" s="314" t="s">
        <v>2354</v>
      </c>
      <c r="B51" s="271" t="s">
        <v>2463</v>
      </c>
      <c r="C51" s="231" t="s">
        <v>17</v>
      </c>
      <c r="D51" s="231"/>
      <c r="E51" s="231" t="s">
        <v>298</v>
      </c>
      <c r="F51" s="272" t="s">
        <v>2415</v>
      </c>
      <c r="G51" s="216"/>
      <c r="H51" s="217"/>
      <c r="I51" s="218"/>
    </row>
    <row r="52" spans="1:9" ht="61.9" customHeight="1">
      <c r="A52" s="314" t="s">
        <v>2355</v>
      </c>
      <c r="B52" s="273" t="s">
        <v>2416</v>
      </c>
      <c r="C52" s="231" t="s">
        <v>2446</v>
      </c>
      <c r="D52" s="317"/>
      <c r="E52" s="317" t="s">
        <v>2319</v>
      </c>
      <c r="F52" s="272" t="s">
        <v>2417</v>
      </c>
      <c r="G52" s="216"/>
      <c r="H52" s="217"/>
      <c r="I52" s="218"/>
    </row>
    <row r="53" spans="1:9" ht="63" customHeight="1">
      <c r="A53" s="314" t="s">
        <v>2356</v>
      </c>
      <c r="B53" s="273" t="s">
        <v>2437</v>
      </c>
      <c r="C53" s="231" t="s">
        <v>2445</v>
      </c>
      <c r="D53" s="318"/>
      <c r="E53" s="318" t="s">
        <v>2319</v>
      </c>
      <c r="F53" s="272" t="s">
        <v>2418</v>
      </c>
      <c r="G53" s="216"/>
      <c r="H53" s="217"/>
      <c r="I53" s="218"/>
    </row>
    <row r="54" spans="1:9" ht="34.5" customHeight="1">
      <c r="A54" s="314" t="s">
        <v>2357</v>
      </c>
      <c r="B54" s="273" t="s">
        <v>2419</v>
      </c>
      <c r="C54" s="318" t="s">
        <v>17</v>
      </c>
      <c r="D54" s="318"/>
      <c r="E54" s="318" t="s">
        <v>2319</v>
      </c>
      <c r="F54" s="272" t="s">
        <v>2420</v>
      </c>
      <c r="G54" s="216"/>
      <c r="H54" s="217"/>
      <c r="I54" s="218"/>
    </row>
    <row r="55" spans="1:9" ht="45" customHeight="1">
      <c r="A55" s="314" t="s">
        <v>2358</v>
      </c>
      <c r="B55" s="273" t="s">
        <v>2421</v>
      </c>
      <c r="C55" s="318" t="s">
        <v>17</v>
      </c>
      <c r="D55" s="318"/>
      <c r="E55" s="318" t="s">
        <v>2319</v>
      </c>
      <c r="F55" s="272" t="s">
        <v>2422</v>
      </c>
      <c r="G55" s="216"/>
      <c r="H55" s="217"/>
      <c r="I55" s="218"/>
    </row>
    <row r="56" spans="1:9" ht="51">
      <c r="A56" s="314" t="s">
        <v>2359</v>
      </c>
      <c r="B56" s="273" t="s">
        <v>2525</v>
      </c>
      <c r="C56" s="318" t="s">
        <v>17</v>
      </c>
      <c r="D56" s="318"/>
      <c r="E56" s="318" t="s">
        <v>2467</v>
      </c>
      <c r="F56" s="272" t="s">
        <v>2526</v>
      </c>
      <c r="G56" s="228" t="s">
        <v>2343</v>
      </c>
      <c r="H56" s="229" t="s">
        <v>63</v>
      </c>
      <c r="I56" s="230" t="s">
        <v>2345</v>
      </c>
    </row>
    <row r="57" spans="1:9" ht="41.25" customHeight="1">
      <c r="A57" s="314" t="s">
        <v>2360</v>
      </c>
      <c r="B57" s="273" t="s">
        <v>2423</v>
      </c>
      <c r="C57" s="318" t="s">
        <v>18</v>
      </c>
      <c r="D57" s="318"/>
      <c r="E57" s="318" t="s">
        <v>2319</v>
      </c>
      <c r="F57" s="272" t="s">
        <v>2424</v>
      </c>
      <c r="G57" s="216"/>
      <c r="H57" s="217"/>
      <c r="I57" s="218"/>
    </row>
    <row r="58" spans="1:9" ht="40.5">
      <c r="A58" s="319" t="s">
        <v>2361</v>
      </c>
      <c r="B58" s="274" t="s">
        <v>2425</v>
      </c>
      <c r="C58" s="320" t="s">
        <v>17</v>
      </c>
      <c r="D58" s="320"/>
      <c r="E58" s="320" t="s">
        <v>2500</v>
      </c>
      <c r="F58" s="277" t="s">
        <v>2426</v>
      </c>
      <c r="G58" s="216"/>
      <c r="H58" s="217"/>
      <c r="I58" s="218"/>
    </row>
    <row r="59" spans="1:9" ht="36">
      <c r="A59" s="319" t="s">
        <v>2362</v>
      </c>
      <c r="B59" s="274" t="s">
        <v>2487</v>
      </c>
      <c r="C59" s="320" t="s">
        <v>17</v>
      </c>
      <c r="D59" s="320"/>
      <c r="E59" s="320" t="s">
        <v>2500</v>
      </c>
      <c r="F59" s="277" t="s">
        <v>2487</v>
      </c>
      <c r="G59" s="216"/>
      <c r="H59" s="217"/>
      <c r="I59" s="218"/>
    </row>
    <row r="60" spans="1:9" ht="36">
      <c r="A60" s="319" t="s">
        <v>2366</v>
      </c>
      <c r="B60" s="274" t="s">
        <v>2427</v>
      </c>
      <c r="C60" s="321" t="s">
        <v>17</v>
      </c>
      <c r="D60" s="321"/>
      <c r="E60" s="321" t="s">
        <v>298</v>
      </c>
      <c r="F60" s="277" t="s">
        <v>2427</v>
      </c>
      <c r="G60" s="216"/>
      <c r="H60" s="217"/>
      <c r="I60" s="218"/>
    </row>
    <row r="61" spans="1:9" ht="56.45" customHeight="1">
      <c r="A61" s="319" t="s">
        <v>2367</v>
      </c>
      <c r="B61" s="274" t="s">
        <v>2428</v>
      </c>
      <c r="C61" s="321" t="s">
        <v>17</v>
      </c>
      <c r="D61" s="321"/>
      <c r="E61" s="320" t="s">
        <v>2500</v>
      </c>
      <c r="F61" s="277" t="s">
        <v>2429</v>
      </c>
      <c r="G61" s="216"/>
      <c r="H61" s="217"/>
      <c r="I61" s="218"/>
    </row>
    <row r="62" spans="1:9" ht="56.45" customHeight="1">
      <c r="A62" s="319" t="s">
        <v>2369</v>
      </c>
      <c r="B62" s="274" t="s">
        <v>2488</v>
      </c>
      <c r="C62" s="321" t="s">
        <v>17</v>
      </c>
      <c r="D62" s="321"/>
      <c r="E62" s="320" t="s">
        <v>2500</v>
      </c>
      <c r="F62" s="277" t="s">
        <v>2488</v>
      </c>
      <c r="G62" s="216"/>
      <c r="H62" s="217"/>
      <c r="I62" s="218"/>
    </row>
    <row r="63" spans="1:9" ht="56.45" customHeight="1">
      <c r="A63" s="319" t="s">
        <v>2371</v>
      </c>
      <c r="B63" s="275" t="s">
        <v>2438</v>
      </c>
      <c r="C63" s="321" t="s">
        <v>17</v>
      </c>
      <c r="D63" s="321"/>
      <c r="E63" s="321" t="s">
        <v>2319</v>
      </c>
      <c r="F63" s="277" t="s">
        <v>2439</v>
      </c>
      <c r="G63" s="232" t="s">
        <v>2363</v>
      </c>
      <c r="H63" s="233" t="s">
        <v>2364</v>
      </c>
      <c r="I63" s="234" t="s">
        <v>2365</v>
      </c>
    </row>
    <row r="64" spans="1:9" ht="51" customHeight="1">
      <c r="A64" s="319" t="s">
        <v>2372</v>
      </c>
      <c r="B64" s="275" t="s">
        <v>2440</v>
      </c>
      <c r="C64" s="321" t="s">
        <v>17</v>
      </c>
      <c r="D64" s="321"/>
      <c r="E64" s="321" t="s">
        <v>2319</v>
      </c>
      <c r="F64" s="277" t="s">
        <v>2430</v>
      </c>
      <c r="G64" s="232" t="s">
        <v>2363</v>
      </c>
      <c r="H64" s="233" t="s">
        <v>2363</v>
      </c>
      <c r="I64" s="234" t="s">
        <v>2365</v>
      </c>
    </row>
    <row r="65" spans="1:9" ht="44.25" customHeight="1">
      <c r="A65" s="319" t="s">
        <v>2373</v>
      </c>
      <c r="B65" s="275" t="s">
        <v>2431</v>
      </c>
      <c r="C65" s="291" t="s">
        <v>17</v>
      </c>
      <c r="D65" s="291"/>
      <c r="E65" s="321" t="s">
        <v>2319</v>
      </c>
      <c r="F65" s="277" t="s">
        <v>2431</v>
      </c>
      <c r="G65" s="235" t="s">
        <v>2368</v>
      </c>
      <c r="H65" s="233" t="s">
        <v>63</v>
      </c>
      <c r="I65" s="234" t="s">
        <v>2365</v>
      </c>
    </row>
    <row r="66" spans="1:9" ht="64.5" customHeight="1">
      <c r="A66" s="319" t="s">
        <v>2473</v>
      </c>
      <c r="B66" s="275" t="s">
        <v>2432</v>
      </c>
      <c r="C66" s="291" t="s">
        <v>17</v>
      </c>
      <c r="D66" s="291"/>
      <c r="E66" s="321" t="s">
        <v>2319</v>
      </c>
      <c r="F66" s="277" t="s">
        <v>2432</v>
      </c>
      <c r="G66" s="235" t="s">
        <v>2370</v>
      </c>
      <c r="H66" s="233" t="s">
        <v>63</v>
      </c>
      <c r="I66" s="234" t="s">
        <v>2365</v>
      </c>
    </row>
    <row r="67" spans="1:9" ht="45" customHeight="1">
      <c r="A67" s="319" t="s">
        <v>2474</v>
      </c>
      <c r="B67" s="275" t="s">
        <v>2433</v>
      </c>
      <c r="C67" s="291" t="s">
        <v>2444</v>
      </c>
      <c r="D67" s="291"/>
      <c r="E67" s="291" t="s">
        <v>2467</v>
      </c>
      <c r="F67" s="277" t="s">
        <v>2433</v>
      </c>
      <c r="G67" s="216"/>
      <c r="H67" s="217"/>
      <c r="I67" s="218"/>
    </row>
    <row r="68" spans="1:9" ht="72">
      <c r="A68" s="319" t="s">
        <v>2501</v>
      </c>
      <c r="B68" s="275" t="s">
        <v>2527</v>
      </c>
      <c r="C68" s="291" t="s">
        <v>17</v>
      </c>
      <c r="D68" s="291"/>
      <c r="E68" s="291" t="s">
        <v>2467</v>
      </c>
      <c r="F68" s="277" t="s">
        <v>2527</v>
      </c>
      <c r="G68" s="216"/>
      <c r="H68" s="217"/>
      <c r="I68" s="218"/>
    </row>
    <row r="69" spans="1:9" ht="36">
      <c r="A69" s="319" t="s">
        <v>2502</v>
      </c>
      <c r="B69" s="275" t="s">
        <v>2528</v>
      </c>
      <c r="C69" s="323" t="s">
        <v>56</v>
      </c>
      <c r="D69" s="323"/>
      <c r="E69" s="291" t="s">
        <v>298</v>
      </c>
      <c r="F69" s="277" t="s">
        <v>2528</v>
      </c>
      <c r="G69" s="224"/>
      <c r="H69" s="225"/>
      <c r="I69" s="236"/>
    </row>
    <row r="70" spans="1:9" ht="54.75" customHeight="1">
      <c r="A70" s="319" t="s">
        <v>2503</v>
      </c>
      <c r="B70" s="275" t="s">
        <v>2434</v>
      </c>
      <c r="C70" s="323" t="s">
        <v>18</v>
      </c>
      <c r="D70" s="323"/>
      <c r="E70" s="323" t="s">
        <v>2319</v>
      </c>
      <c r="F70" s="277" t="s">
        <v>2434</v>
      </c>
      <c r="G70" s="224"/>
      <c r="H70" s="225"/>
      <c r="I70" s="236"/>
    </row>
    <row r="74" spans="1:9" ht="45" customHeight="1">
      <c r="B74" s="331" t="s">
        <v>1626</v>
      </c>
    </row>
  </sheetData>
  <mergeCells count="1">
    <mergeCell ref="A1:F1"/>
  </mergeCells>
  <pageMargins left="0" right="0" top="0.25" bottom="0.25" header="0.3" footer="0.3"/>
  <pageSetup scale="65" orientation="portrait" r:id="rId1"/>
  <rowBreaks count="3" manualBreakCount="3">
    <brk id="25" max="5" man="1"/>
    <brk id="48" max="5" man="1"/>
    <brk id="70" max="16383" man="1"/>
  </rowBreaks>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94"/>
  <sheetViews>
    <sheetView showGridLines="0" topLeftCell="D51" zoomScale="80" zoomScaleNormal="80" workbookViewId="0">
      <selection activeCell="S79" sqref="S79"/>
    </sheetView>
  </sheetViews>
  <sheetFormatPr defaultColWidth="9" defaultRowHeight="15.75"/>
  <cols>
    <col min="1" max="1" width="9.625" style="58" customWidth="1"/>
    <col min="2" max="2" width="17.125" style="58" customWidth="1"/>
    <col min="3" max="3" width="41.125" style="58" customWidth="1"/>
    <col min="4" max="4" width="25.25" style="58" customWidth="1"/>
    <col min="5" max="5" width="21.375" style="58" bestFit="1" customWidth="1"/>
    <col min="6" max="6" width="27.875" style="58" customWidth="1"/>
    <col min="7" max="7" width="16.375" style="58" customWidth="1"/>
    <col min="8" max="8" width="13.125" style="58" customWidth="1"/>
    <col min="9" max="9" width="13.375" style="58" customWidth="1"/>
    <col min="10" max="12" width="9.625" style="58" customWidth="1"/>
    <col min="13" max="13" width="14.25" style="58" customWidth="1"/>
    <col min="14" max="15" width="17" style="58" customWidth="1"/>
    <col min="16" max="16" width="9.625" style="58" customWidth="1"/>
    <col min="17" max="17" width="13.25" style="58" customWidth="1"/>
    <col min="18" max="18" width="17.125" style="58" customWidth="1"/>
    <col min="19" max="19" width="19" style="58" customWidth="1"/>
    <col min="20" max="21" width="16.125" style="58" customWidth="1"/>
    <col min="22" max="22" width="21.625" style="58" customWidth="1"/>
    <col min="23" max="23" width="19.25" style="58" bestFit="1" customWidth="1"/>
    <col min="24" max="24" width="9.625" style="58" customWidth="1"/>
    <col min="25" max="25" width="30.125" style="58" bestFit="1" customWidth="1"/>
    <col min="26" max="26" width="10.75" style="58" bestFit="1" customWidth="1"/>
    <col min="27" max="37" width="9.25" style="58" customWidth="1"/>
    <col min="38" max="38" width="16.625" style="58" customWidth="1"/>
    <col min="39" max="39" width="16.875" style="58" customWidth="1"/>
    <col min="40" max="40" width="9.25" style="58" customWidth="1"/>
    <col min="41" max="41" width="24.5" style="58" customWidth="1"/>
    <col min="42" max="42" width="22.375" style="58" customWidth="1"/>
    <col min="43" max="43" width="19.25" style="58" bestFit="1" customWidth="1"/>
    <col min="44" max="44" width="9.25" style="58" customWidth="1"/>
    <col min="45" max="45" width="23" style="58" customWidth="1"/>
    <col min="46" max="46" width="9.25" style="58" customWidth="1"/>
    <col min="47" max="47" width="10.375" style="58" customWidth="1"/>
    <col min="48" max="16384" width="9" style="58"/>
  </cols>
  <sheetData>
    <row r="1" spans="2:35">
      <c r="B1"/>
      <c r="C1"/>
    </row>
    <row r="2" spans="2:35">
      <c r="B2" s="839" t="s">
        <v>20</v>
      </c>
      <c r="C2" s="840" t="s">
        <v>2388</v>
      </c>
      <c r="M2" s="839" t="s">
        <v>35</v>
      </c>
      <c r="N2" s="840" t="s">
        <v>35</v>
      </c>
      <c r="Q2"/>
      <c r="R2"/>
      <c r="S2" s="533"/>
      <c r="T2" s="533"/>
      <c r="U2" s="533"/>
      <c r="V2" s="533"/>
      <c r="W2" s="533"/>
    </row>
    <row r="3" spans="2:35" s="59" customFormat="1">
      <c r="B3" s="839" t="s">
        <v>35</v>
      </c>
      <c r="C3" s="840" t="s">
        <v>35</v>
      </c>
      <c r="D3" s="58"/>
      <c r="E3" s="58"/>
      <c r="F3" s="58"/>
      <c r="G3" s="58"/>
      <c r="H3" s="58"/>
      <c r="M3" s="839" t="s">
        <v>22</v>
      </c>
      <c r="N3" s="840" t="s">
        <v>2707</v>
      </c>
      <c r="O3" s="58"/>
      <c r="P3" s="58"/>
      <c r="Q3"/>
      <c r="S3" s="533"/>
      <c r="T3" s="533"/>
      <c r="U3" s="533"/>
      <c r="V3" s="533"/>
      <c r="W3" s="533"/>
      <c r="Y3" s="58"/>
      <c r="Z3" s="58"/>
      <c r="AA3" s="58"/>
      <c r="AB3" s="58"/>
      <c r="AC3" s="58"/>
    </row>
    <row r="4" spans="2:35">
      <c r="B4" s="839" t="s">
        <v>128</v>
      </c>
      <c r="C4" s="840" t="s">
        <v>44</v>
      </c>
      <c r="M4" s="839" t="s">
        <v>128</v>
      </c>
      <c r="N4" s="840" t="s">
        <v>44</v>
      </c>
      <c r="Q4"/>
    </row>
    <row r="5" spans="2:35">
      <c r="B5"/>
      <c r="C5"/>
      <c r="D5" s="457" t="s">
        <v>2704</v>
      </c>
      <c r="E5"/>
      <c r="F5"/>
      <c r="G5"/>
      <c r="H5"/>
      <c r="I5"/>
      <c r="J5" s="415"/>
      <c r="K5" s="415"/>
      <c r="M5"/>
      <c r="N5"/>
      <c r="O5"/>
      <c r="P5"/>
      <c r="Q5"/>
      <c r="S5" s="533"/>
      <c r="T5" s="533"/>
      <c r="U5" s="533"/>
      <c r="V5" s="533"/>
      <c r="W5" s="533"/>
    </row>
    <row r="6" spans="2:35" ht="94.5">
      <c r="B6" s="840"/>
      <c r="C6" s="850" t="s">
        <v>1649</v>
      </c>
      <c r="D6" s="851" t="s">
        <v>2546</v>
      </c>
      <c r="E6" s="852" t="s">
        <v>2547</v>
      </c>
      <c r="F6" s="853" t="s">
        <v>2548</v>
      </c>
      <c r="G6" s="855" t="s">
        <v>2710</v>
      </c>
      <c r="H6" s="855" t="s">
        <v>2713</v>
      </c>
      <c r="I6" s="856" t="s">
        <v>2709</v>
      </c>
      <c r="J6"/>
      <c r="M6" s="840"/>
      <c r="N6" s="844" t="s">
        <v>1649</v>
      </c>
      <c r="O6" s="849" t="s">
        <v>2546</v>
      </c>
      <c r="P6" s="840" t="s">
        <v>2547</v>
      </c>
      <c r="Q6" s="840" t="s">
        <v>2548</v>
      </c>
      <c r="S6" s="533"/>
      <c r="T6" s="533"/>
      <c r="U6" s="533"/>
      <c r="V6" s="533"/>
      <c r="W6" s="533"/>
      <c r="X6"/>
      <c r="AD6" s="455"/>
      <c r="AE6" s="455"/>
      <c r="AF6" s="455"/>
      <c r="AG6" s="455"/>
      <c r="AH6" s="455"/>
      <c r="AI6" s="455"/>
    </row>
    <row r="7" spans="2:35">
      <c r="B7" s="841" t="s">
        <v>2707</v>
      </c>
      <c r="C7" s="848">
        <v>119120</v>
      </c>
      <c r="D7" s="845">
        <v>114301.49333333335</v>
      </c>
      <c r="E7" s="846">
        <v>90648</v>
      </c>
      <c r="F7" s="847">
        <v>118323</v>
      </c>
      <c r="G7" s="854">
        <v>118323</v>
      </c>
      <c r="H7" s="854">
        <v>58803</v>
      </c>
      <c r="I7" s="854">
        <v>23154</v>
      </c>
      <c r="J7"/>
      <c r="K7" s="61"/>
      <c r="M7" s="840" t="s">
        <v>2388</v>
      </c>
      <c r="N7" s="842">
        <v>119120</v>
      </c>
      <c r="O7" s="843">
        <v>114301.49333333335</v>
      </c>
      <c r="P7" s="843">
        <v>90648</v>
      </c>
      <c r="Q7" s="843">
        <v>118323</v>
      </c>
      <c r="S7" s="533"/>
      <c r="T7" s="533"/>
      <c r="U7" s="533"/>
      <c r="V7" s="533"/>
      <c r="W7" s="533"/>
      <c r="X7"/>
    </row>
    <row r="8" spans="2:35">
      <c r="B8" s="841" t="s">
        <v>1630</v>
      </c>
      <c r="C8" s="848">
        <v>119120</v>
      </c>
      <c r="D8" s="845">
        <v>114301.49333333335</v>
      </c>
      <c r="E8" s="846">
        <v>90648</v>
      </c>
      <c r="F8" s="847">
        <v>118323</v>
      </c>
      <c r="G8" s="854">
        <v>118323</v>
      </c>
      <c r="H8" s="854">
        <v>58803</v>
      </c>
      <c r="I8" s="854">
        <v>23154</v>
      </c>
      <c r="J8"/>
      <c r="K8" s="61"/>
      <c r="M8" s="840" t="s">
        <v>1630</v>
      </c>
      <c r="N8" s="842">
        <v>119120</v>
      </c>
      <c r="O8" s="845">
        <v>114301.49333333335</v>
      </c>
      <c r="P8" s="843">
        <v>90648</v>
      </c>
      <c r="Q8" s="843">
        <v>118323</v>
      </c>
      <c r="S8" s="533"/>
      <c r="T8" s="533"/>
      <c r="U8" s="533"/>
      <c r="V8" s="533"/>
      <c r="W8" s="533"/>
      <c r="X8"/>
      <c r="Y8"/>
      <c r="Z8"/>
      <c r="AA8"/>
      <c r="AB8"/>
      <c r="AC8"/>
    </row>
    <row r="9" spans="2:35">
      <c r="B9"/>
      <c r="C9"/>
      <c r="D9"/>
      <c r="E9"/>
      <c r="F9"/>
      <c r="G9"/>
      <c r="H9"/>
      <c r="I9"/>
      <c r="J9"/>
      <c r="K9" s="61"/>
      <c r="S9" s="533"/>
      <c r="T9" s="533"/>
      <c r="U9" s="533"/>
      <c r="V9" s="533"/>
      <c r="W9" s="533"/>
      <c r="X9"/>
      <c r="Y9"/>
    </row>
    <row r="10" spans="2:35">
      <c r="B10"/>
      <c r="C10"/>
      <c r="D10"/>
      <c r="E10"/>
      <c r="F10"/>
      <c r="G10"/>
      <c r="H10"/>
      <c r="I10"/>
      <c r="J10"/>
      <c r="K10" s="61"/>
      <c r="R10"/>
      <c r="S10" s="533"/>
      <c r="T10" s="533"/>
      <c r="U10" s="533"/>
      <c r="V10" s="533"/>
      <c r="W10" s="533"/>
      <c r="X10"/>
      <c r="Y10"/>
    </row>
    <row r="11" spans="2:35">
      <c r="D11" s="190"/>
      <c r="R11"/>
      <c r="S11" s="533"/>
      <c r="T11" s="533"/>
      <c r="U11" s="533"/>
      <c r="V11" s="533"/>
      <c r="W11" s="533"/>
    </row>
    <row r="12" spans="2:35">
      <c r="M12"/>
      <c r="N12"/>
      <c r="O12"/>
      <c r="P12"/>
      <c r="Q12"/>
      <c r="S12"/>
      <c r="T12"/>
      <c r="U12"/>
      <c r="V12"/>
      <c r="W12"/>
    </row>
    <row r="13" spans="2:35">
      <c r="C13" s="179"/>
      <c r="D13" s="458"/>
      <c r="E13" s="179"/>
      <c r="F13" s="179"/>
      <c r="M13"/>
      <c r="N13"/>
      <c r="O13"/>
      <c r="P13"/>
      <c r="R13"/>
      <c r="S13"/>
      <c r="T13"/>
      <c r="U13"/>
      <c r="W13"/>
      <c r="X13"/>
      <c r="Y13"/>
      <c r="Z13"/>
    </row>
    <row r="14" spans="2:35" ht="16.5" thickBot="1">
      <c r="C14" s="179"/>
      <c r="D14" s="459"/>
      <c r="E14" s="179"/>
      <c r="F14" s="179"/>
    </row>
    <row r="15" spans="2:35" ht="32.25" thickBot="1">
      <c r="G15" s="935" t="s">
        <v>1634</v>
      </c>
      <c r="H15" s="936"/>
      <c r="I15" s="936"/>
      <c r="L15" s="745" t="s">
        <v>1916</v>
      </c>
      <c r="M15" s="746"/>
      <c r="N15" s="924" t="s">
        <v>1917</v>
      </c>
      <c r="O15" s="924"/>
      <c r="P15" s="925"/>
    </row>
    <row r="16" spans="2:35" ht="60" customHeight="1">
      <c r="C16" s="84" t="s">
        <v>1631</v>
      </c>
      <c r="D16" s="716" t="s">
        <v>1632</v>
      </c>
      <c r="E16" s="716" t="s">
        <v>1633</v>
      </c>
      <c r="F16" s="85" t="s">
        <v>1650</v>
      </c>
      <c r="G16" s="721" t="s">
        <v>1087</v>
      </c>
      <c r="H16" s="721" t="s">
        <v>879</v>
      </c>
      <c r="I16" s="721" t="s">
        <v>3106</v>
      </c>
      <c r="J16" s="86" t="s">
        <v>2012</v>
      </c>
      <c r="K16" s="86" t="s">
        <v>2013</v>
      </c>
      <c r="L16" s="747" t="s">
        <v>1635</v>
      </c>
      <c r="M16" s="748" t="s">
        <v>1636</v>
      </c>
      <c r="N16" s="748" t="s">
        <v>1637</v>
      </c>
      <c r="O16" s="748" t="s">
        <v>1638</v>
      </c>
      <c r="P16" s="749" t="s">
        <v>1639</v>
      </c>
      <c r="Q16" s="86" t="s">
        <v>1641</v>
      </c>
    </row>
    <row r="17" spans="2:17" ht="24" customHeight="1">
      <c r="C17" s="937" t="s">
        <v>2376</v>
      </c>
      <c r="D17" s="724" t="s">
        <v>2707</v>
      </c>
      <c r="E17" s="730">
        <v>391005</v>
      </c>
      <c r="F17" s="730">
        <v>254472</v>
      </c>
      <c r="G17" s="700">
        <f>GETPIVOTDATA(" HRP1",$B$6,"State","Central Rakhine")</f>
        <v>114301.49333333335</v>
      </c>
      <c r="H17" s="700">
        <v>32508</v>
      </c>
      <c r="I17" s="700">
        <f>SUM(G17:H17)</f>
        <v>146809.49333333335</v>
      </c>
      <c r="J17" s="701">
        <f>I17/F17</f>
        <v>0.57691806302199589</v>
      </c>
      <c r="K17" s="701">
        <f t="shared" ref="K17:K23" si="0">1-J17</f>
        <v>0.42308193697800411</v>
      </c>
      <c r="L17" s="700">
        <f>I17*0.45</f>
        <v>66064.272000000012</v>
      </c>
      <c r="M17" s="700">
        <f>I17*0.55</f>
        <v>80745.221333333349</v>
      </c>
      <c r="N17" s="700">
        <f>I17*0.35</f>
        <v>51383.322666666667</v>
      </c>
      <c r="O17" s="700">
        <f>I17*0.4</f>
        <v>58723.797333333343</v>
      </c>
      <c r="P17" s="700">
        <f>I17*0.25</f>
        <v>36702.373333333337</v>
      </c>
      <c r="Q17" s="700">
        <f>F17-I17</f>
        <v>107662.50666666665</v>
      </c>
    </row>
    <row r="18" spans="2:17" ht="24" customHeight="1">
      <c r="C18" s="938"/>
      <c r="D18" s="722" t="s">
        <v>2706</v>
      </c>
      <c r="E18" s="730">
        <v>324000</v>
      </c>
      <c r="F18" s="730">
        <v>116064</v>
      </c>
      <c r="G18" s="700"/>
      <c r="H18" s="700">
        <v>13404</v>
      </c>
      <c r="I18" s="700">
        <f>SUM(G18:H18)</f>
        <v>13404</v>
      </c>
      <c r="J18" s="701">
        <f>I18/F18</f>
        <v>0.11548800661703887</v>
      </c>
      <c r="K18" s="701">
        <f t="shared" ref="K18:K19" si="1">1-J18</f>
        <v>0.88451199338296116</v>
      </c>
      <c r="L18" s="700">
        <f>I18*0.45</f>
        <v>6031.8</v>
      </c>
      <c r="M18" s="700">
        <f>I18*0.55</f>
        <v>7372.2000000000007</v>
      </c>
      <c r="N18" s="700">
        <f>I18*0.35</f>
        <v>4691.3999999999996</v>
      </c>
      <c r="O18" s="700">
        <f>I18*0.4</f>
        <v>5361.6</v>
      </c>
      <c r="P18" s="700">
        <f>I18*0.25</f>
        <v>3351</v>
      </c>
      <c r="Q18" s="700">
        <f t="shared" ref="Q18:Q31" si="2">F18-I18</f>
        <v>102660</v>
      </c>
    </row>
    <row r="19" spans="2:17" s="731" customFormat="1" ht="24" customHeight="1">
      <c r="C19" s="939"/>
      <c r="D19" s="723" t="s">
        <v>1897</v>
      </c>
      <c r="E19" s="732">
        <f>SUM(E17:E18)</f>
        <v>715005</v>
      </c>
      <c r="F19" s="732">
        <f>SUM(F17:F18)</f>
        <v>370536</v>
      </c>
      <c r="G19" s="732">
        <f t="shared" ref="G19:I19" si="3">SUM(G17:G18)</f>
        <v>114301.49333333335</v>
      </c>
      <c r="H19" s="732">
        <f t="shared" si="3"/>
        <v>45912</v>
      </c>
      <c r="I19" s="732">
        <f t="shared" si="3"/>
        <v>160213.49333333335</v>
      </c>
      <c r="J19" s="754">
        <f>I19/F19</f>
        <v>0.4323830702909659</v>
      </c>
      <c r="K19" s="734">
        <f t="shared" si="1"/>
        <v>0.5676169297090341</v>
      </c>
      <c r="L19" s="732">
        <f>SUM(L17:L18)</f>
        <v>72096.072000000015</v>
      </c>
      <c r="M19" s="732">
        <f>SUM(M17:M18)</f>
        <v>88117.421333333346</v>
      </c>
      <c r="N19" s="732">
        <f>I19*0.35</f>
        <v>56074.722666666668</v>
      </c>
      <c r="O19" s="732">
        <f>I19*0.4</f>
        <v>64085.397333333342</v>
      </c>
      <c r="P19" s="732">
        <f>I19*0.25</f>
        <v>40053.373333333337</v>
      </c>
      <c r="Q19" s="733">
        <f t="shared" si="2"/>
        <v>210322.50666666665</v>
      </c>
    </row>
    <row r="20" spans="2:17" ht="24" customHeight="1">
      <c r="C20" s="946" t="s">
        <v>2378</v>
      </c>
      <c r="D20" s="725" t="s">
        <v>2707</v>
      </c>
      <c r="E20" s="702">
        <v>391005</v>
      </c>
      <c r="F20" s="702">
        <v>254472</v>
      </c>
      <c r="G20" s="703">
        <f>GETPIVOTDATA(" HRP2",$B$6,"State","Central Rakhine")</f>
        <v>90648</v>
      </c>
      <c r="H20" s="703">
        <v>22439</v>
      </c>
      <c r="I20" s="703">
        <f>SUM(G20:H20)</f>
        <v>113087</v>
      </c>
      <c r="J20" s="755">
        <f t="shared" ref="J20:J30" si="4">I20/F20</f>
        <v>0.44439859788110281</v>
      </c>
      <c r="K20" s="704">
        <f t="shared" si="0"/>
        <v>0.55560140211889719</v>
      </c>
      <c r="L20" s="703">
        <f t="shared" ref="L20:L31" si="5">I20*0.45</f>
        <v>50889.15</v>
      </c>
      <c r="M20" s="703">
        <f t="shared" ref="M20:M31" si="6">I20*0.55</f>
        <v>62197.850000000006</v>
      </c>
      <c r="N20" s="703">
        <f t="shared" ref="N20:N31" si="7">I20*0.35</f>
        <v>39580.449999999997</v>
      </c>
      <c r="O20" s="703">
        <f t="shared" ref="O20:O31" si="8">I20*0.4</f>
        <v>45234.8</v>
      </c>
      <c r="P20" s="703">
        <f t="shared" ref="P20:P31" si="9">I20*0.25</f>
        <v>28271.75</v>
      </c>
      <c r="Q20" s="705">
        <f t="shared" si="2"/>
        <v>141385</v>
      </c>
    </row>
    <row r="21" spans="2:17" ht="24" customHeight="1">
      <c r="C21" s="947"/>
      <c r="D21" s="726" t="s">
        <v>2706</v>
      </c>
      <c r="E21" s="702">
        <v>324000</v>
      </c>
      <c r="F21" s="702">
        <v>116064</v>
      </c>
      <c r="G21" s="703"/>
      <c r="H21" s="703">
        <v>13404</v>
      </c>
      <c r="I21" s="703">
        <f>SUM(G21:H21)</f>
        <v>13404</v>
      </c>
      <c r="J21" s="755">
        <f t="shared" si="4"/>
        <v>0.11548800661703887</v>
      </c>
      <c r="K21" s="704">
        <f t="shared" ref="K21:K22" si="10">1-J21</f>
        <v>0.88451199338296116</v>
      </c>
      <c r="L21" s="703">
        <f t="shared" si="5"/>
        <v>6031.8</v>
      </c>
      <c r="M21" s="703">
        <f t="shared" si="6"/>
        <v>7372.2000000000007</v>
      </c>
      <c r="N21" s="703">
        <f t="shared" si="7"/>
        <v>4691.3999999999996</v>
      </c>
      <c r="O21" s="703">
        <f t="shared" si="8"/>
        <v>5361.6</v>
      </c>
      <c r="P21" s="703">
        <f t="shared" si="9"/>
        <v>3351</v>
      </c>
      <c r="Q21" s="705">
        <f t="shared" si="2"/>
        <v>102660</v>
      </c>
    </row>
    <row r="22" spans="2:17" s="731" customFormat="1" ht="24" customHeight="1">
      <c r="C22" s="948"/>
      <c r="D22" s="727" t="s">
        <v>1897</v>
      </c>
      <c r="E22" s="735">
        <f>SUM(E20:E21)</f>
        <v>715005</v>
      </c>
      <c r="F22" s="735">
        <f t="shared" ref="F22:I22" si="11">SUM(F20:F21)</f>
        <v>370536</v>
      </c>
      <c r="G22" s="735">
        <f t="shared" si="11"/>
        <v>90648</v>
      </c>
      <c r="H22" s="735">
        <f t="shared" si="11"/>
        <v>35843</v>
      </c>
      <c r="I22" s="735">
        <f t="shared" si="11"/>
        <v>126491</v>
      </c>
      <c r="J22" s="756">
        <f t="shared" si="4"/>
        <v>0.34137303797741653</v>
      </c>
      <c r="K22" s="737">
        <f t="shared" si="10"/>
        <v>0.65862696202258353</v>
      </c>
      <c r="L22" s="735">
        <f t="shared" si="5"/>
        <v>56920.950000000004</v>
      </c>
      <c r="M22" s="735">
        <f t="shared" si="6"/>
        <v>69570.05</v>
      </c>
      <c r="N22" s="735">
        <f t="shared" si="7"/>
        <v>44271.85</v>
      </c>
      <c r="O22" s="735">
        <f t="shared" si="8"/>
        <v>50596.4</v>
      </c>
      <c r="P22" s="735">
        <f t="shared" si="9"/>
        <v>31622.75</v>
      </c>
      <c r="Q22" s="736">
        <f t="shared" si="2"/>
        <v>244045</v>
      </c>
    </row>
    <row r="23" spans="2:17" ht="24" customHeight="1">
      <c r="B23" s="179"/>
      <c r="C23" s="943" t="s">
        <v>2529</v>
      </c>
      <c r="D23" s="728" t="s">
        <v>2707</v>
      </c>
      <c r="E23" s="706">
        <v>391005</v>
      </c>
      <c r="F23" s="706">
        <v>254472</v>
      </c>
      <c r="G23" s="707">
        <f>GETPIVOTDATA(" HRP3",$B$6,"State","Central Rakhine")</f>
        <v>118323</v>
      </c>
      <c r="H23" s="707">
        <v>5665</v>
      </c>
      <c r="I23" s="707">
        <f t="shared" ref="I23:I30" si="12">SUM(G23:H23)</f>
        <v>123988</v>
      </c>
      <c r="J23" s="757">
        <f t="shared" si="4"/>
        <v>0.48723631676569523</v>
      </c>
      <c r="K23" s="708">
        <f t="shared" si="0"/>
        <v>0.51276368323430477</v>
      </c>
      <c r="L23" s="707">
        <f t="shared" si="5"/>
        <v>55794.6</v>
      </c>
      <c r="M23" s="707">
        <f t="shared" si="6"/>
        <v>68193.400000000009</v>
      </c>
      <c r="N23" s="707">
        <f t="shared" si="7"/>
        <v>43395.799999999996</v>
      </c>
      <c r="O23" s="707">
        <f t="shared" si="8"/>
        <v>49595.200000000004</v>
      </c>
      <c r="P23" s="707">
        <f t="shared" si="9"/>
        <v>30997</v>
      </c>
      <c r="Q23" s="709">
        <f t="shared" si="2"/>
        <v>130484</v>
      </c>
    </row>
    <row r="24" spans="2:17" ht="24" customHeight="1">
      <c r="B24" s="179"/>
      <c r="C24" s="944"/>
      <c r="D24" s="728" t="s">
        <v>2706</v>
      </c>
      <c r="E24" s="706">
        <v>324000</v>
      </c>
      <c r="F24" s="706">
        <v>116064</v>
      </c>
      <c r="G24" s="707"/>
      <c r="H24" s="707">
        <v>9272</v>
      </c>
      <c r="I24" s="707">
        <f t="shared" si="12"/>
        <v>9272</v>
      </c>
      <c r="J24" s="757">
        <f t="shared" si="4"/>
        <v>7.9886958919216988E-2</v>
      </c>
      <c r="K24" s="708">
        <f t="shared" ref="K24:K25" si="13">1-J24</f>
        <v>0.92011304108078296</v>
      </c>
      <c r="L24" s="707">
        <f t="shared" si="5"/>
        <v>4172.4000000000005</v>
      </c>
      <c r="M24" s="707">
        <f t="shared" si="6"/>
        <v>5099.6000000000004</v>
      </c>
      <c r="N24" s="707">
        <f t="shared" si="7"/>
        <v>3245.2</v>
      </c>
      <c r="O24" s="707">
        <f t="shared" si="8"/>
        <v>3708.8</v>
      </c>
      <c r="P24" s="707">
        <f t="shared" si="9"/>
        <v>2318</v>
      </c>
      <c r="Q24" s="709">
        <f t="shared" si="2"/>
        <v>106792</v>
      </c>
    </row>
    <row r="25" spans="2:17" s="731" customFormat="1" ht="24" customHeight="1">
      <c r="B25" s="883"/>
      <c r="C25" s="945"/>
      <c r="D25" s="729" t="s">
        <v>1897</v>
      </c>
      <c r="E25" s="738">
        <v>715005</v>
      </c>
      <c r="F25" s="738">
        <f>SUM(F23:F24)</f>
        <v>370536</v>
      </c>
      <c r="G25" s="738">
        <f t="shared" ref="G25:I25" si="14">SUM(G23:G24)</f>
        <v>118323</v>
      </c>
      <c r="H25" s="738">
        <f t="shared" si="14"/>
        <v>14937</v>
      </c>
      <c r="I25" s="738">
        <f t="shared" si="14"/>
        <v>133260</v>
      </c>
      <c r="J25" s="758">
        <f t="shared" si="4"/>
        <v>0.35964116846946048</v>
      </c>
      <c r="K25" s="740">
        <f t="shared" si="13"/>
        <v>0.64035883153053952</v>
      </c>
      <c r="L25" s="738">
        <f t="shared" si="5"/>
        <v>59967</v>
      </c>
      <c r="M25" s="738">
        <f t="shared" si="6"/>
        <v>73293</v>
      </c>
      <c r="N25" s="738">
        <f t="shared" si="7"/>
        <v>46641</v>
      </c>
      <c r="O25" s="738">
        <f t="shared" si="8"/>
        <v>53304</v>
      </c>
      <c r="P25" s="738">
        <f t="shared" si="9"/>
        <v>33315</v>
      </c>
      <c r="Q25" s="739">
        <f t="shared" si="2"/>
        <v>237276</v>
      </c>
    </row>
    <row r="26" spans="2:17" ht="24" customHeight="1">
      <c r="B26" s="934"/>
      <c r="C26" s="940" t="s">
        <v>2711</v>
      </c>
      <c r="D26" s="713" t="s">
        <v>2707</v>
      </c>
      <c r="E26" s="710">
        <v>391005</v>
      </c>
      <c r="F26" s="710">
        <v>254472</v>
      </c>
      <c r="G26" s="711">
        <f>GETPIVOTDATA(" # People received regular supply of hygiene items",$B$6,"State","Central Rakhine")</f>
        <v>118323</v>
      </c>
      <c r="H26" s="711">
        <v>38385</v>
      </c>
      <c r="I26" s="711">
        <f t="shared" si="12"/>
        <v>156708</v>
      </c>
      <c r="J26" s="712">
        <f t="shared" si="4"/>
        <v>0.61581627841177022</v>
      </c>
      <c r="K26" s="712">
        <f t="shared" ref="K26" si="15">1-J26</f>
        <v>0.38418372158822978</v>
      </c>
      <c r="L26" s="711">
        <f t="shared" si="5"/>
        <v>70518.600000000006</v>
      </c>
      <c r="M26" s="711">
        <f t="shared" si="6"/>
        <v>86189.400000000009</v>
      </c>
      <c r="N26" s="711">
        <f t="shared" si="7"/>
        <v>54847.799999999996</v>
      </c>
      <c r="O26" s="711">
        <f t="shared" si="8"/>
        <v>62683.200000000004</v>
      </c>
      <c r="P26" s="711">
        <f t="shared" si="9"/>
        <v>39177</v>
      </c>
      <c r="Q26" s="711">
        <f t="shared" si="2"/>
        <v>97764</v>
      </c>
    </row>
    <row r="27" spans="2:17" ht="24" customHeight="1">
      <c r="B27" s="934"/>
      <c r="C27" s="941"/>
      <c r="D27" s="713" t="s">
        <v>2706</v>
      </c>
      <c r="E27" s="710">
        <v>324000</v>
      </c>
      <c r="F27" s="710">
        <v>116064</v>
      </c>
      <c r="G27" s="711"/>
      <c r="H27" s="711">
        <v>1185</v>
      </c>
      <c r="I27" s="711">
        <f t="shared" si="12"/>
        <v>1185</v>
      </c>
      <c r="J27" s="712">
        <f t="shared" si="4"/>
        <v>1.0209884201819685E-2</v>
      </c>
      <c r="K27" s="712">
        <f t="shared" ref="K27:K28" si="16">1-J27</f>
        <v>0.98979011579818033</v>
      </c>
      <c r="L27" s="711">
        <f t="shared" si="5"/>
        <v>533.25</v>
      </c>
      <c r="M27" s="711">
        <f t="shared" si="6"/>
        <v>651.75</v>
      </c>
      <c r="N27" s="711">
        <f t="shared" si="7"/>
        <v>414.75</v>
      </c>
      <c r="O27" s="711">
        <f t="shared" si="8"/>
        <v>474</v>
      </c>
      <c r="P27" s="711">
        <f t="shared" si="9"/>
        <v>296.25</v>
      </c>
      <c r="Q27" s="711">
        <f t="shared" si="2"/>
        <v>114879</v>
      </c>
    </row>
    <row r="28" spans="2:17" ht="24" customHeight="1">
      <c r="B28" s="934"/>
      <c r="C28" s="942"/>
      <c r="D28" s="741" t="s">
        <v>1897</v>
      </c>
      <c r="E28" s="742">
        <f>SUM(E26:E27)</f>
        <v>715005</v>
      </c>
      <c r="F28" s="742">
        <f t="shared" ref="F28:I28" si="17">SUM(F26:F27)</f>
        <v>370536</v>
      </c>
      <c r="G28" s="742">
        <f t="shared" si="17"/>
        <v>118323</v>
      </c>
      <c r="H28" s="742">
        <f t="shared" si="17"/>
        <v>39570</v>
      </c>
      <c r="I28" s="742">
        <f t="shared" si="17"/>
        <v>157893</v>
      </c>
      <c r="J28" s="759">
        <f t="shared" si="4"/>
        <v>0.42612053889500617</v>
      </c>
      <c r="K28" s="744">
        <f t="shared" si="16"/>
        <v>0.57387946110499377</v>
      </c>
      <c r="L28" s="742">
        <f t="shared" si="5"/>
        <v>71051.850000000006</v>
      </c>
      <c r="M28" s="742">
        <f t="shared" si="6"/>
        <v>86841.150000000009</v>
      </c>
      <c r="N28" s="742">
        <f t="shared" si="7"/>
        <v>55262.549999999996</v>
      </c>
      <c r="O28" s="742">
        <f t="shared" si="8"/>
        <v>63157.200000000004</v>
      </c>
      <c r="P28" s="742">
        <f t="shared" si="9"/>
        <v>39473.25</v>
      </c>
      <c r="Q28" s="743">
        <f t="shared" si="2"/>
        <v>212643</v>
      </c>
    </row>
    <row r="29" spans="2:17" ht="26.25" customHeight="1">
      <c r="B29" s="934"/>
      <c r="C29" s="940" t="s">
        <v>2712</v>
      </c>
      <c r="D29" s="713" t="s">
        <v>2707</v>
      </c>
      <c r="E29" s="710">
        <v>391005</v>
      </c>
      <c r="F29" s="710">
        <v>254472</v>
      </c>
      <c r="G29" s="711">
        <f>GETPIVOTDATA(" #_students at TLS_CFS",$B$6,"State","Central Rakhine")</f>
        <v>23154</v>
      </c>
      <c r="H29" s="711">
        <v>3624</v>
      </c>
      <c r="I29" s="711">
        <f t="shared" si="12"/>
        <v>26778</v>
      </c>
      <c r="J29" s="712">
        <f t="shared" si="4"/>
        <v>0.10522965198528718</v>
      </c>
      <c r="K29" s="712">
        <f t="shared" ref="K29" si="18">1-J29</f>
        <v>0.89477034801471278</v>
      </c>
      <c r="L29" s="711">
        <f t="shared" si="5"/>
        <v>12050.1</v>
      </c>
      <c r="M29" s="711">
        <f t="shared" si="6"/>
        <v>14727.900000000001</v>
      </c>
      <c r="N29" s="711">
        <f t="shared" si="7"/>
        <v>9372.2999999999993</v>
      </c>
      <c r="O29" s="711">
        <f t="shared" si="8"/>
        <v>10711.2</v>
      </c>
      <c r="P29" s="711">
        <f t="shared" si="9"/>
        <v>6694.5</v>
      </c>
      <c r="Q29" s="711">
        <f t="shared" si="2"/>
        <v>227694</v>
      </c>
    </row>
    <row r="30" spans="2:17" ht="26.25" customHeight="1">
      <c r="C30" s="941"/>
      <c r="D30" s="713" t="s">
        <v>2706</v>
      </c>
      <c r="E30" s="710">
        <v>324000</v>
      </c>
      <c r="F30" s="710">
        <v>116064</v>
      </c>
      <c r="G30" s="711"/>
      <c r="H30" s="711">
        <v>3572</v>
      </c>
      <c r="I30" s="711">
        <f t="shared" si="12"/>
        <v>3572</v>
      </c>
      <c r="J30" s="712">
        <f t="shared" si="4"/>
        <v>3.0776123518059001E-2</v>
      </c>
      <c r="K30" s="712">
        <f t="shared" ref="K30:K31" si="19">1-J30</f>
        <v>0.96922387648194097</v>
      </c>
      <c r="L30" s="711">
        <f t="shared" si="5"/>
        <v>1607.4</v>
      </c>
      <c r="M30" s="711">
        <f t="shared" si="6"/>
        <v>1964.6000000000001</v>
      </c>
      <c r="N30" s="711">
        <f t="shared" si="7"/>
        <v>1250.1999999999998</v>
      </c>
      <c r="O30" s="711">
        <f t="shared" si="8"/>
        <v>1428.8000000000002</v>
      </c>
      <c r="P30" s="711">
        <f t="shared" si="9"/>
        <v>893</v>
      </c>
      <c r="Q30" s="711">
        <f t="shared" si="2"/>
        <v>112492</v>
      </c>
    </row>
    <row r="31" spans="2:17" s="731" customFormat="1" ht="26.25" customHeight="1" thickBot="1">
      <c r="C31" s="949"/>
      <c r="D31" s="750" t="s">
        <v>1897</v>
      </c>
      <c r="E31" s="750">
        <f>SUM(E29:E30)</f>
        <v>715005</v>
      </c>
      <c r="F31" s="750">
        <f>SUM(F29:F30)</f>
        <v>370536</v>
      </c>
      <c r="G31" s="750">
        <f>SUM(G29:G30)</f>
        <v>23154</v>
      </c>
      <c r="H31" s="750">
        <f>SUM(H29:H30)</f>
        <v>7196</v>
      </c>
      <c r="I31" s="750">
        <f>SUM(I29:I30)</f>
        <v>30350</v>
      </c>
      <c r="J31" s="760">
        <f>I31/F31</f>
        <v>8.1908370576678116E-2</v>
      </c>
      <c r="K31" s="751">
        <f t="shared" si="19"/>
        <v>0.9180916294233219</v>
      </c>
      <c r="L31" s="750">
        <f t="shared" si="5"/>
        <v>13657.5</v>
      </c>
      <c r="M31" s="750">
        <f t="shared" si="6"/>
        <v>16692.5</v>
      </c>
      <c r="N31" s="750">
        <f t="shared" si="7"/>
        <v>10622.5</v>
      </c>
      <c r="O31" s="750">
        <f t="shared" si="8"/>
        <v>12140</v>
      </c>
      <c r="P31" s="750">
        <f t="shared" si="9"/>
        <v>7587.5</v>
      </c>
      <c r="Q31" s="752">
        <f t="shared" si="2"/>
        <v>340186</v>
      </c>
    </row>
    <row r="32" spans="2:17">
      <c r="G32" s="61"/>
    </row>
    <row r="33" spans="2:18">
      <c r="G33" s="61"/>
    </row>
    <row r="34" spans="2:18">
      <c r="G34" s="61"/>
    </row>
    <row r="36" spans="2:18">
      <c r="C36" s="81" t="s">
        <v>44</v>
      </c>
      <c r="D36" s="82"/>
      <c r="E36" s="82"/>
      <c r="F36" s="82"/>
      <c r="G36" s="82"/>
      <c r="H36" s="82"/>
      <c r="I36" s="82"/>
      <c r="J36" s="82"/>
      <c r="K36" s="82"/>
      <c r="L36" s="82"/>
      <c r="M36" s="82"/>
      <c r="N36" s="82"/>
      <c r="O36" s="82"/>
      <c r="P36" s="82"/>
      <c r="Q36" s="82"/>
      <c r="R36" s="83"/>
    </row>
    <row r="37" spans="2:18" s="179" customFormat="1"/>
    <row r="38" spans="2:18" ht="39" customHeight="1">
      <c r="C38" s="928" t="s">
        <v>2549</v>
      </c>
      <c r="D38" s="929"/>
      <c r="E38" s="929"/>
    </row>
    <row r="39" spans="2:18">
      <c r="C39" s="77" t="s">
        <v>1647</v>
      </c>
      <c r="D39" s="164" t="s">
        <v>1640</v>
      </c>
      <c r="E39" s="166" t="s">
        <v>1641</v>
      </c>
    </row>
    <row r="40" spans="2:18" ht="15.75" customHeight="1">
      <c r="B40" s="80" t="s">
        <v>2707</v>
      </c>
      <c r="C40" s="60">
        <v>254472</v>
      </c>
      <c r="D40" s="165">
        <f>G17</f>
        <v>114301.49333333335</v>
      </c>
      <c r="E40" s="166">
        <f>C40-D40</f>
        <v>140170.50666666665</v>
      </c>
      <c r="F40" s="68"/>
    </row>
    <row r="41" spans="2:18" ht="15.75" customHeight="1">
      <c r="E41" s="61"/>
      <c r="F41" s="68"/>
    </row>
    <row r="42" spans="2:18" ht="15.75" customHeight="1">
      <c r="E42" s="61"/>
      <c r="F42" s="68"/>
    </row>
    <row r="43" spans="2:18" ht="15.75" customHeight="1">
      <c r="E43" s="61"/>
      <c r="F43" s="68"/>
    </row>
    <row r="44" spans="2:18" ht="15.75" customHeight="1">
      <c r="E44" s="61"/>
      <c r="F44" s="68"/>
    </row>
    <row r="45" spans="2:18" ht="15.75" customHeight="1">
      <c r="E45" s="61"/>
      <c r="F45" s="68"/>
    </row>
    <row r="46" spans="2:18" ht="15.75" customHeight="1">
      <c r="E46" s="61"/>
      <c r="F46" s="68"/>
    </row>
    <row r="47" spans="2:18" ht="35.25" customHeight="1">
      <c r="C47" s="930" t="s">
        <v>2550</v>
      </c>
      <c r="D47" s="931"/>
      <c r="E47" s="931"/>
      <c r="F47" s="68"/>
    </row>
    <row r="48" spans="2:18">
      <c r="C48" s="78" t="s">
        <v>1647</v>
      </c>
      <c r="D48" s="168" t="s">
        <v>1640</v>
      </c>
      <c r="E48" s="78" t="s">
        <v>1641</v>
      </c>
      <c r="F48" s="68"/>
    </row>
    <row r="49" spans="2:16">
      <c r="B49" s="80" t="s">
        <v>2707</v>
      </c>
      <c r="C49" s="60">
        <v>254472</v>
      </c>
      <c r="D49" s="169">
        <f>G20</f>
        <v>90648</v>
      </c>
      <c r="E49" s="167">
        <f>C49-D49</f>
        <v>163824</v>
      </c>
      <c r="F49" s="68"/>
    </row>
    <row r="50" spans="2:16" ht="15.75" customHeight="1">
      <c r="E50" s="61"/>
      <c r="F50" s="68"/>
    </row>
    <row r="51" spans="2:16">
      <c r="E51" s="61"/>
      <c r="F51" s="68"/>
    </row>
    <row r="52" spans="2:16">
      <c r="E52" s="61"/>
      <c r="F52" s="68"/>
    </row>
    <row r="53" spans="2:16">
      <c r="E53" s="61"/>
      <c r="F53" s="68"/>
    </row>
    <row r="54" spans="2:16">
      <c r="E54" s="61"/>
      <c r="F54" s="68"/>
    </row>
    <row r="55" spans="2:16" ht="42.75" customHeight="1">
      <c r="C55" s="932" t="s">
        <v>2551</v>
      </c>
      <c r="D55" s="933"/>
      <c r="E55" s="933"/>
      <c r="F55" s="68"/>
    </row>
    <row r="56" spans="2:16">
      <c r="C56" s="79" t="s">
        <v>1647</v>
      </c>
      <c r="D56" s="170" t="s">
        <v>1640</v>
      </c>
      <c r="E56" s="79" t="s">
        <v>1641</v>
      </c>
      <c r="F56" s="68"/>
    </row>
    <row r="57" spans="2:16">
      <c r="B57" s="80" t="s">
        <v>2707</v>
      </c>
      <c r="C57" s="60">
        <v>254472</v>
      </c>
      <c r="D57" s="171">
        <f>G23</f>
        <v>118323</v>
      </c>
      <c r="E57" s="172">
        <f>C57-D57</f>
        <v>136149</v>
      </c>
      <c r="F57" s="68"/>
    </row>
    <row r="58" spans="2:16">
      <c r="E58" s="61"/>
      <c r="F58" s="68"/>
    </row>
    <row r="60" spans="2:16">
      <c r="D60" s="61"/>
    </row>
    <row r="61" spans="2:16">
      <c r="D61" s="61"/>
    </row>
    <row r="62" spans="2:16" hidden="1">
      <c r="B62" s="926" t="s">
        <v>1886</v>
      </c>
      <c r="C62" s="927"/>
      <c r="D62" s="927"/>
      <c r="E62" s="927"/>
      <c r="F62" s="927"/>
      <c r="G62" s="927"/>
      <c r="H62" s="927"/>
      <c r="J62" s="926" t="s">
        <v>1895</v>
      </c>
      <c r="K62" s="927"/>
      <c r="L62" s="927"/>
      <c r="M62" s="927"/>
      <c r="N62" s="927"/>
      <c r="O62" s="927"/>
      <c r="P62" s="927"/>
    </row>
    <row r="63" spans="2:16" ht="79.5" hidden="1" customHeight="1">
      <c r="B63" s="80" t="s">
        <v>22</v>
      </c>
      <c r="C63" s="77" t="s">
        <v>1642</v>
      </c>
      <c r="D63" s="77" t="s">
        <v>1643</v>
      </c>
      <c r="E63" s="78" t="s">
        <v>77</v>
      </c>
      <c r="F63" s="78" t="s">
        <v>1645</v>
      </c>
      <c r="G63" s="79" t="s">
        <v>78</v>
      </c>
      <c r="H63" s="79" t="s">
        <v>1644</v>
      </c>
      <c r="J63" s="80" t="s">
        <v>22</v>
      </c>
      <c r="K63" s="164" t="s">
        <v>1642</v>
      </c>
      <c r="L63" s="164" t="s">
        <v>1643</v>
      </c>
      <c r="M63" s="168" t="s">
        <v>77</v>
      </c>
      <c r="N63" s="168" t="s">
        <v>1645</v>
      </c>
      <c r="O63" s="170" t="s">
        <v>78</v>
      </c>
      <c r="P63" s="170" t="s">
        <v>1644</v>
      </c>
    </row>
    <row r="64" spans="2:16" hidden="1">
      <c r="B64" s="80" t="s">
        <v>38</v>
      </c>
      <c r="C64" s="173" t="e">
        <f>#REF!/#REF!</f>
        <v>#REF!</v>
      </c>
      <c r="D64" s="173" t="e">
        <f>#REF!/#REF!</f>
        <v>#REF!</v>
      </c>
      <c r="E64" s="174" t="e">
        <f>#REF!/#REF!</f>
        <v>#REF!</v>
      </c>
      <c r="F64" s="174" t="e">
        <f>#REF!/#REF!</f>
        <v>#REF!</v>
      </c>
      <c r="G64" s="175" t="e">
        <f>#REF!/#REF!</f>
        <v>#REF!</v>
      </c>
      <c r="H64" s="175" t="e">
        <f>#REF!/#REF!</f>
        <v>#REF!</v>
      </c>
      <c r="J64" s="80" t="s">
        <v>38</v>
      </c>
      <c r="K64" s="176" t="e">
        <f>#REF!/#REF!</f>
        <v>#REF!</v>
      </c>
      <c r="L64" s="176" t="e">
        <f>#REF!/#REF!</f>
        <v>#REF!</v>
      </c>
      <c r="M64" s="177" t="e">
        <f>#REF!/#REF!</f>
        <v>#REF!</v>
      </c>
      <c r="N64" s="177" t="e">
        <f>#REF!/#REF!</f>
        <v>#REF!</v>
      </c>
      <c r="O64" s="178" t="e">
        <f>#REF!/#REF!</f>
        <v>#REF!</v>
      </c>
      <c r="P64" s="178" t="e">
        <f>#REF!/#REF!</f>
        <v>#REF!</v>
      </c>
    </row>
    <row r="65" spans="1:60" hidden="1">
      <c r="B65" s="80" t="s">
        <v>298</v>
      </c>
      <c r="C65" s="173">
        <f>$E$40/$C$40</f>
        <v>0.55082880107307153</v>
      </c>
      <c r="D65" s="173" t="e">
        <f>#REF!/#REF!</f>
        <v>#REF!</v>
      </c>
      <c r="E65" s="174">
        <f>$E$49/$C$49</f>
        <v>0.64378006224653395</v>
      </c>
      <c r="F65" s="174" t="e">
        <f>#REF!/#REF!</f>
        <v>#REF!</v>
      </c>
      <c r="G65" s="175">
        <f>$E$57/$C$57</f>
        <v>0.53502546449118171</v>
      </c>
      <c r="H65" s="175" t="e">
        <f>#REF!/#REF!</f>
        <v>#REF!</v>
      </c>
      <c r="J65" s="80" t="s">
        <v>298</v>
      </c>
      <c r="K65" s="176">
        <f>D40/C40</f>
        <v>0.44917119892692847</v>
      </c>
      <c r="L65" s="176" t="e">
        <f>#REF!/#REF!</f>
        <v>#REF!</v>
      </c>
      <c r="M65" s="177">
        <f>D49/C49</f>
        <v>0.356219937753466</v>
      </c>
      <c r="N65" s="177" t="e">
        <f>#REF!/#REF!</f>
        <v>#REF!</v>
      </c>
      <c r="O65" s="178">
        <f>D57/C57</f>
        <v>0.46497453550881823</v>
      </c>
      <c r="P65" s="178" t="e">
        <f>#REF!/#REF!</f>
        <v>#REF!</v>
      </c>
    </row>
    <row r="66" spans="1:60" ht="31.5" hidden="1">
      <c r="B66" s="80" t="s">
        <v>702</v>
      </c>
      <c r="C66" s="173" t="e">
        <f>#REF!/#REF!</f>
        <v>#REF!</v>
      </c>
      <c r="D66" s="173" t="e">
        <f>#REF!/#REF!</f>
        <v>#REF!</v>
      </c>
      <c r="E66" s="174" t="e">
        <f>#REF!/#REF!</f>
        <v>#REF!</v>
      </c>
      <c r="F66" s="174" t="e">
        <f>#REF!/#REF!</f>
        <v>#REF!</v>
      </c>
      <c r="G66" s="175" t="e">
        <f>#REF!/#REF!</f>
        <v>#REF!</v>
      </c>
      <c r="H66" s="175" t="e">
        <f>#REF!/#REF!</f>
        <v>#REF!</v>
      </c>
      <c r="J66" s="80" t="s">
        <v>702</v>
      </c>
      <c r="K66" s="176" t="e">
        <f>#REF!/#REF!</f>
        <v>#REF!</v>
      </c>
      <c r="L66" s="176" t="e">
        <f>#REF!/#REF!</f>
        <v>#REF!</v>
      </c>
      <c r="M66" s="177" t="e">
        <f>#REF!/#REF!</f>
        <v>#REF!</v>
      </c>
      <c r="N66" s="177" t="e">
        <f>#REF!/#REF!</f>
        <v>#REF!</v>
      </c>
      <c r="O66" s="178" t="e">
        <f>#REF!/#REF!</f>
        <v>#REF!</v>
      </c>
      <c r="P66" s="178" t="e">
        <f>#REF!/#REF!</f>
        <v>#REF!</v>
      </c>
    </row>
    <row r="69" spans="1:60">
      <c r="V69"/>
      <c r="W69"/>
    </row>
    <row r="70" spans="1:60">
      <c r="C70"/>
      <c r="D70"/>
      <c r="V70"/>
      <c r="W70"/>
      <c r="AP70"/>
      <c r="AQ70"/>
    </row>
    <row r="71" spans="1:60">
      <c r="C71"/>
      <c r="D71"/>
    </row>
    <row r="72" spans="1:60" ht="23.25">
      <c r="A72" s="393" t="s">
        <v>298</v>
      </c>
      <c r="B72" s="391"/>
      <c r="C72" s="391"/>
      <c r="D72" s="391"/>
      <c r="E72" s="391"/>
      <c r="F72" s="391"/>
      <c r="G72" s="391"/>
      <c r="H72" s="391"/>
      <c r="I72" s="391"/>
      <c r="J72" s="391"/>
      <c r="K72" s="391"/>
      <c r="L72" s="391"/>
      <c r="M72" s="391"/>
      <c r="N72" s="391"/>
      <c r="O72" s="391"/>
      <c r="P72" s="391"/>
      <c r="Q72" s="391"/>
      <c r="R72" s="391"/>
      <c r="S72" s="391"/>
      <c r="T72" s="391"/>
      <c r="U72" s="391"/>
      <c r="V72" s="392"/>
      <c r="W72" s="392"/>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row>
    <row r="74" spans="1:60">
      <c r="C74" s="839" t="s">
        <v>20</v>
      </c>
      <c r="D74" s="840" t="s">
        <v>2388</v>
      </c>
    </row>
    <row r="75" spans="1:60">
      <c r="C75" s="839" t="s">
        <v>35</v>
      </c>
      <c r="D75" s="840" t="s">
        <v>35</v>
      </c>
    </row>
    <row r="76" spans="1:60">
      <c r="C76" s="839" t="s">
        <v>22</v>
      </c>
      <c r="D76" s="840" t="s">
        <v>2707</v>
      </c>
    </row>
    <row r="77" spans="1:60">
      <c r="C77" s="839" t="s">
        <v>128</v>
      </c>
      <c r="D77" s="840" t="s">
        <v>44</v>
      </c>
      <c r="F77" s="180" t="s">
        <v>298</v>
      </c>
      <c r="G77" s="180" t="s">
        <v>2705</v>
      </c>
    </row>
    <row r="78" spans="1:60">
      <c r="C78" s="70"/>
      <c r="D78"/>
      <c r="F78" s="89" t="s">
        <v>1631</v>
      </c>
      <c r="G78" s="90" t="s">
        <v>1931</v>
      </c>
      <c r="H78" s="92" t="s">
        <v>1640</v>
      </c>
      <c r="I78" s="92" t="s">
        <v>1641</v>
      </c>
      <c r="AL78" s="533"/>
      <c r="AM78" s="533"/>
      <c r="AT78" s="455"/>
      <c r="AU78" s="455"/>
      <c r="AV78" s="455"/>
      <c r="AW78" s="455"/>
      <c r="AX78" s="455"/>
      <c r="AY78" s="455"/>
      <c r="AZ78" s="455"/>
      <c r="BA78" s="455"/>
      <c r="BB78" s="455"/>
      <c r="BC78" s="455"/>
      <c r="BD78" s="455"/>
      <c r="BE78" s="455"/>
      <c r="BF78" s="455"/>
      <c r="BG78" s="455"/>
      <c r="BH78" s="455"/>
    </row>
    <row r="79" spans="1:60" ht="110.25">
      <c r="C79" s="857" t="s">
        <v>2546</v>
      </c>
      <c r="D79" s="859">
        <v>114301.49333333335</v>
      </c>
      <c r="F79" s="88" t="s">
        <v>2552</v>
      </c>
      <c r="G79" s="95">
        <v>111059</v>
      </c>
      <c r="H79" s="95">
        <f>GETPIVOTDATA(" HRP3",$C$79)</f>
        <v>118323</v>
      </c>
      <c r="I79" s="95">
        <f>G79-H79</f>
        <v>-7264</v>
      </c>
      <c r="AL79"/>
      <c r="AM79"/>
      <c r="AT79" s="455"/>
      <c r="AU79" s="455"/>
      <c r="AV79" s="455"/>
      <c r="AW79" s="455"/>
      <c r="AX79" s="455"/>
      <c r="AY79" s="455"/>
      <c r="AZ79" s="455"/>
      <c r="BA79" s="455"/>
      <c r="BB79" s="455"/>
      <c r="BC79" s="455"/>
      <c r="BD79" s="455"/>
      <c r="BE79" s="455"/>
      <c r="BF79" s="455"/>
      <c r="BG79" s="455"/>
      <c r="BH79" s="455"/>
    </row>
    <row r="80" spans="1:60" ht="63">
      <c r="C80" s="858" t="s">
        <v>2547</v>
      </c>
      <c r="D80" s="862">
        <v>90648</v>
      </c>
      <c r="F80" s="87" t="s">
        <v>2553</v>
      </c>
      <c r="G80" s="94">
        <v>111059</v>
      </c>
      <c r="H80" s="94">
        <f>GETPIVOTDATA(" HRP2",$C$79)</f>
        <v>90648</v>
      </c>
      <c r="I80" s="94">
        <f>G80-H80</f>
        <v>20411</v>
      </c>
      <c r="AL80"/>
      <c r="AM80"/>
    </row>
    <row r="81" spans="3:42" ht="63">
      <c r="C81" s="861" t="s">
        <v>2548</v>
      </c>
      <c r="D81" s="860">
        <v>118323</v>
      </c>
      <c r="F81" s="91" t="s">
        <v>2554</v>
      </c>
      <c r="G81" s="93">
        <v>111059</v>
      </c>
      <c r="H81" s="93">
        <f>GETPIVOTDATA(" HRP1",$C$79)</f>
        <v>114301.49333333335</v>
      </c>
      <c r="I81" s="93">
        <f>G81-H81</f>
        <v>-3242.4933333333465</v>
      </c>
      <c r="AL81"/>
      <c r="AM81"/>
    </row>
    <row r="82" spans="3:42">
      <c r="H82" s="61">
        <f>SUM(H79:H81)</f>
        <v>323272.49333333335</v>
      </c>
      <c r="X82" s="61">
        <f>SUM(X79:X81)</f>
        <v>0</v>
      </c>
      <c r="AP82" s="61"/>
    </row>
    <row r="84" spans="3:42">
      <c r="C84"/>
      <c r="D84"/>
      <c r="V84"/>
      <c r="W84"/>
    </row>
    <row r="91" spans="3:42">
      <c r="C91"/>
      <c r="D91"/>
    </row>
    <row r="92" spans="3:42">
      <c r="C92"/>
      <c r="D92"/>
    </row>
    <row r="93" spans="3:42">
      <c r="C93"/>
      <c r="D93"/>
    </row>
    <row r="94" spans="3:42">
      <c r="C94"/>
      <c r="D94"/>
    </row>
  </sheetData>
  <mergeCells count="13">
    <mergeCell ref="N15:P15"/>
    <mergeCell ref="B62:H62"/>
    <mergeCell ref="J62:P62"/>
    <mergeCell ref="C38:E38"/>
    <mergeCell ref="C47:E47"/>
    <mergeCell ref="C55:E55"/>
    <mergeCell ref="B26:B29"/>
    <mergeCell ref="G15:I15"/>
    <mergeCell ref="C17:C19"/>
    <mergeCell ref="C26:C28"/>
    <mergeCell ref="C23:C25"/>
    <mergeCell ref="C20:C22"/>
    <mergeCell ref="C29:C31"/>
  </mergeCells>
  <pageMargins left="0.7" right="0.7" top="0.75" bottom="0.75" header="0.3" footer="0.3"/>
  <pageSetup orientation="portrait" r:id="rId4"/>
  <drawing r:id="rId5"/>
  <legacy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61"/>
  <sheetViews>
    <sheetView workbookViewId="0">
      <selection activeCell="A8" sqref="A8:B15"/>
    </sheetView>
  </sheetViews>
  <sheetFormatPr defaultRowHeight="15.75"/>
  <cols>
    <col min="1" max="1" width="29.5" customWidth="1"/>
    <col min="2" max="2" width="15" bestFit="1" customWidth="1"/>
    <col min="3" max="3" width="20.25" customWidth="1"/>
    <col min="6" max="6" width="11" bestFit="1" customWidth="1"/>
    <col min="8" max="8" width="45.75" bestFit="1" customWidth="1"/>
    <col min="9" max="9" width="11.625" bestFit="1" customWidth="1"/>
    <col min="12" max="12" width="17.125" customWidth="1"/>
    <col min="13" max="13" width="9" style="415"/>
    <col min="14" max="14" width="13.25" bestFit="1" customWidth="1"/>
    <col min="16" max="16" width="28.625" bestFit="1" customWidth="1"/>
  </cols>
  <sheetData>
    <row r="2" spans="1:16">
      <c r="A2" s="863" t="s">
        <v>20</v>
      </c>
      <c r="B2" s="864" t="s">
        <v>2388</v>
      </c>
    </row>
    <row r="3" spans="1:16">
      <c r="A3" s="863" t="s">
        <v>35</v>
      </c>
      <c r="B3" s="864" t="s">
        <v>35</v>
      </c>
    </row>
    <row r="4" spans="1:16">
      <c r="A4" s="863" t="s">
        <v>128</v>
      </c>
      <c r="B4" s="864" t="s">
        <v>44</v>
      </c>
    </row>
    <row r="5" spans="1:16">
      <c r="A5" s="866" t="s">
        <v>22</v>
      </c>
      <c r="B5" s="864" t="s">
        <v>2707</v>
      </c>
      <c r="E5" s="209" t="s">
        <v>22</v>
      </c>
      <c r="F5" s="209" t="s">
        <v>23</v>
      </c>
      <c r="G5" s="209" t="s">
        <v>21</v>
      </c>
      <c r="I5" s="209" t="s">
        <v>22</v>
      </c>
      <c r="J5" s="209" t="s">
        <v>23</v>
      </c>
      <c r="K5" s="209" t="s">
        <v>21</v>
      </c>
      <c r="N5" s="209" t="s">
        <v>22</v>
      </c>
      <c r="O5" s="209" t="s">
        <v>23</v>
      </c>
      <c r="P5" s="209" t="s">
        <v>21</v>
      </c>
    </row>
    <row r="6" spans="1:16">
      <c r="A6" s="115"/>
      <c r="B6" s="108"/>
      <c r="E6" s="460" t="s">
        <v>38</v>
      </c>
      <c r="F6" s="501" t="s">
        <v>189</v>
      </c>
      <c r="G6" s="497" t="s">
        <v>135</v>
      </c>
      <c r="H6" t="str">
        <f>G6&amp;", "&amp;G7&amp;", "&amp;G8</f>
        <v>KBC, Metta, SI</v>
      </c>
      <c r="I6" s="499" t="s">
        <v>702</v>
      </c>
      <c r="J6" s="501" t="s">
        <v>721</v>
      </c>
      <c r="K6" s="497" t="s">
        <v>186</v>
      </c>
      <c r="L6" t="str">
        <f>K7</f>
        <v>SCI, Metta</v>
      </c>
      <c r="N6" s="499" t="s">
        <v>2707</v>
      </c>
      <c r="O6" s="501" t="s">
        <v>361</v>
      </c>
      <c r="P6" s="497" t="s">
        <v>2295</v>
      </c>
    </row>
    <row r="7" spans="1:16">
      <c r="A7" s="865" t="s">
        <v>23</v>
      </c>
      <c r="B7" s="863" t="s">
        <v>2322</v>
      </c>
      <c r="D7" s="418"/>
      <c r="E7" s="460" t="s">
        <v>38</v>
      </c>
      <c r="F7" s="501" t="s">
        <v>189</v>
      </c>
      <c r="G7" s="497" t="s">
        <v>186</v>
      </c>
      <c r="H7" s="415"/>
      <c r="I7" s="499" t="s">
        <v>702</v>
      </c>
      <c r="J7" s="501" t="s">
        <v>721</v>
      </c>
      <c r="K7" s="497" t="s">
        <v>1915</v>
      </c>
      <c r="L7" s="415"/>
      <c r="N7" s="499" t="s">
        <v>2707</v>
      </c>
      <c r="O7" s="501" t="s">
        <v>306</v>
      </c>
      <c r="P7" s="497" t="s">
        <v>297</v>
      </c>
    </row>
    <row r="8" spans="1:16">
      <c r="A8" s="864" t="s">
        <v>361</v>
      </c>
      <c r="B8" s="864" t="s">
        <v>2295</v>
      </c>
      <c r="E8" s="460" t="s">
        <v>38</v>
      </c>
      <c r="F8" s="501" t="s">
        <v>189</v>
      </c>
      <c r="G8" s="497" t="s">
        <v>270</v>
      </c>
      <c r="I8" s="499" t="s">
        <v>702</v>
      </c>
      <c r="J8" s="501" t="s">
        <v>706</v>
      </c>
      <c r="K8" s="497" t="s">
        <v>135</v>
      </c>
      <c r="L8" t="str">
        <f>K8&amp;", "&amp;K9&amp;", "&amp;K12</f>
        <v>KBC, KMSS, SCI, Metta</v>
      </c>
      <c r="N8" s="499" t="s">
        <v>2707</v>
      </c>
      <c r="O8" s="501" t="s">
        <v>403</v>
      </c>
      <c r="P8" s="497" t="s">
        <v>402</v>
      </c>
    </row>
    <row r="9" spans="1:16">
      <c r="A9" s="864" t="s">
        <v>306</v>
      </c>
      <c r="B9" s="864" t="s">
        <v>297</v>
      </c>
      <c r="E9" s="460" t="s">
        <v>38</v>
      </c>
      <c r="F9" s="501" t="s">
        <v>140</v>
      </c>
      <c r="G9" s="497" t="s">
        <v>135</v>
      </c>
      <c r="H9" t="str">
        <f>G9&amp;", "&amp;G10&amp;", "&amp;G11</f>
        <v>KBC, KMSS, Shalom</v>
      </c>
      <c r="I9" s="499" t="s">
        <v>702</v>
      </c>
      <c r="J9" s="501" t="s">
        <v>706</v>
      </c>
      <c r="K9" s="497" t="s">
        <v>37</v>
      </c>
      <c r="N9" s="499" t="s">
        <v>2707</v>
      </c>
      <c r="O9" s="501" t="s">
        <v>406</v>
      </c>
      <c r="P9" s="497" t="s">
        <v>2773</v>
      </c>
    </row>
    <row r="10" spans="1:16">
      <c r="A10" s="864" t="s">
        <v>403</v>
      </c>
      <c r="B10" s="864" t="s">
        <v>402</v>
      </c>
      <c r="E10" s="460" t="s">
        <v>38</v>
      </c>
      <c r="F10" s="501" t="s">
        <v>140</v>
      </c>
      <c r="G10" s="497" t="s">
        <v>37</v>
      </c>
      <c r="I10" s="499" t="s">
        <v>702</v>
      </c>
      <c r="J10" s="501" t="s">
        <v>706</v>
      </c>
      <c r="K10" s="497" t="s">
        <v>186</v>
      </c>
      <c r="N10" s="500" t="s">
        <v>2707</v>
      </c>
      <c r="O10" s="502" t="s">
        <v>299</v>
      </c>
      <c r="P10" s="496" t="s">
        <v>2774</v>
      </c>
    </row>
    <row r="11" spans="1:16">
      <c r="A11" s="864" t="s">
        <v>406</v>
      </c>
      <c r="B11" s="864" t="s">
        <v>291</v>
      </c>
      <c r="E11" s="460" t="s">
        <v>38</v>
      </c>
      <c r="F11" s="501" t="s">
        <v>140</v>
      </c>
      <c r="G11" s="497" t="s">
        <v>236</v>
      </c>
      <c r="I11" s="499" t="s">
        <v>702</v>
      </c>
      <c r="J11" s="501" t="s">
        <v>706</v>
      </c>
      <c r="K11" s="497" t="s">
        <v>291</v>
      </c>
    </row>
    <row r="12" spans="1:16">
      <c r="A12" s="864" t="s">
        <v>406</v>
      </c>
      <c r="B12" s="864" t="s">
        <v>270</v>
      </c>
      <c r="E12" s="460" t="s">
        <v>38</v>
      </c>
      <c r="F12" s="501" t="s">
        <v>142</v>
      </c>
      <c r="G12" s="497" t="s">
        <v>135</v>
      </c>
      <c r="H12" t="str">
        <f>G12&amp;", "&amp;G13&amp;", "&amp;G14</f>
        <v>KBC, KMSS, Shalom</v>
      </c>
      <c r="I12" s="499" t="s">
        <v>702</v>
      </c>
      <c r="J12" s="501" t="s">
        <v>706</v>
      </c>
      <c r="K12" s="497" t="s">
        <v>1915</v>
      </c>
      <c r="N12" s="499" t="s">
        <v>323</v>
      </c>
      <c r="O12" s="497" t="s">
        <v>373</v>
      </c>
      <c r="P12" t="s">
        <v>2775</v>
      </c>
    </row>
    <row r="13" spans="1:16">
      <c r="A13" s="864" t="s">
        <v>299</v>
      </c>
      <c r="B13" s="864" t="s">
        <v>413</v>
      </c>
      <c r="E13" s="460" t="s">
        <v>38</v>
      </c>
      <c r="F13" s="501" t="s">
        <v>142</v>
      </c>
      <c r="G13" s="497" t="s">
        <v>37</v>
      </c>
      <c r="I13" s="499" t="s">
        <v>702</v>
      </c>
      <c r="J13" s="501" t="s">
        <v>709</v>
      </c>
      <c r="K13" s="497" t="s">
        <v>37</v>
      </c>
      <c r="L13" t="str">
        <f>K13&amp;", "&amp;K14</f>
        <v>KMSS, Metta</v>
      </c>
      <c r="N13" s="500" t="s">
        <v>361</v>
      </c>
      <c r="O13" s="497" t="s">
        <v>2295</v>
      </c>
      <c r="P13" t="s">
        <v>2295</v>
      </c>
    </row>
    <row r="14" spans="1:16">
      <c r="A14" s="864" t="s">
        <v>299</v>
      </c>
      <c r="B14" s="864" t="s">
        <v>2308</v>
      </c>
      <c r="E14" s="460" t="s">
        <v>38</v>
      </c>
      <c r="F14" s="501" t="s">
        <v>142</v>
      </c>
      <c r="G14" s="497" t="s">
        <v>236</v>
      </c>
      <c r="I14" s="499" t="s">
        <v>702</v>
      </c>
      <c r="J14" s="501" t="s">
        <v>709</v>
      </c>
      <c r="K14" s="497" t="s">
        <v>186</v>
      </c>
      <c r="N14" s="500" t="s">
        <v>306</v>
      </c>
      <c r="O14" s="497" t="s">
        <v>322</v>
      </c>
      <c r="P14" t="s">
        <v>322</v>
      </c>
    </row>
    <row r="15" spans="1:16">
      <c r="A15" s="864" t="s">
        <v>299</v>
      </c>
      <c r="B15" s="864" t="s">
        <v>2309</v>
      </c>
      <c r="E15" s="460" t="s">
        <v>38</v>
      </c>
      <c r="F15" s="501" t="s">
        <v>39</v>
      </c>
      <c r="G15" s="497" t="s">
        <v>135</v>
      </c>
      <c r="H15" t="str">
        <f>G15&amp;", "&amp;G16&amp;", "&amp;G17&amp;", "&amp;G18</f>
        <v>KBC, KMSS, Metta, WPN</v>
      </c>
      <c r="I15" s="499" t="s">
        <v>702</v>
      </c>
      <c r="J15" s="501" t="s">
        <v>712</v>
      </c>
      <c r="K15" s="497" t="s">
        <v>37</v>
      </c>
      <c r="L15" t="str">
        <f>K15&amp;", "&amp;K17</f>
        <v>KMSS, SCI, Metta</v>
      </c>
      <c r="N15" s="499" t="s">
        <v>309</v>
      </c>
      <c r="O15" s="497" t="s">
        <v>312</v>
      </c>
      <c r="P15" t="s">
        <v>2125</v>
      </c>
    </row>
    <row r="16" spans="1:16">
      <c r="E16" s="460" t="s">
        <v>38</v>
      </c>
      <c r="F16" s="501" t="s">
        <v>39</v>
      </c>
      <c r="G16" s="497" t="s">
        <v>37</v>
      </c>
      <c r="I16" s="499" t="s">
        <v>702</v>
      </c>
      <c r="J16" s="501" t="s">
        <v>712</v>
      </c>
      <c r="K16" s="497" t="s">
        <v>186</v>
      </c>
      <c r="N16" s="500" t="s">
        <v>316</v>
      </c>
      <c r="O16" s="497" t="s">
        <v>318</v>
      </c>
      <c r="P16" t="s">
        <v>318</v>
      </c>
    </row>
    <row r="17" spans="5:16">
      <c r="E17" s="460" t="s">
        <v>38</v>
      </c>
      <c r="F17" s="501" t="s">
        <v>39</v>
      </c>
      <c r="G17" s="497" t="s">
        <v>186</v>
      </c>
      <c r="I17" s="499" t="s">
        <v>702</v>
      </c>
      <c r="J17" s="501" t="s">
        <v>712</v>
      </c>
      <c r="K17" s="497" t="s">
        <v>1915</v>
      </c>
      <c r="N17" s="500" t="s">
        <v>403</v>
      </c>
      <c r="O17" s="497" t="s">
        <v>402</v>
      </c>
      <c r="P17" t="s">
        <v>402</v>
      </c>
    </row>
    <row r="18" spans="5:16">
      <c r="E18" s="460" t="s">
        <v>38</v>
      </c>
      <c r="F18" s="501" t="s">
        <v>39</v>
      </c>
      <c r="G18" s="497" t="s">
        <v>285</v>
      </c>
      <c r="I18" s="499" t="s">
        <v>702</v>
      </c>
      <c r="J18" s="501" t="s">
        <v>703</v>
      </c>
      <c r="K18" s="497" t="s">
        <v>37</v>
      </c>
      <c r="L18" t="str">
        <f>K18&amp;", "&amp;K19</f>
        <v>KMSS, SCI</v>
      </c>
      <c r="N18" s="499" t="s">
        <v>406</v>
      </c>
      <c r="O18" s="497" t="s">
        <v>338</v>
      </c>
      <c r="P18" t="s">
        <v>2776</v>
      </c>
    </row>
    <row r="19" spans="5:16">
      <c r="E19" s="460" t="s">
        <v>38</v>
      </c>
      <c r="F19" s="501" t="s">
        <v>146</v>
      </c>
      <c r="G19" s="497" t="s">
        <v>135</v>
      </c>
      <c r="H19" t="str">
        <f>G19&amp;", "&amp;G20</f>
        <v>KBC, KMSS</v>
      </c>
      <c r="I19" s="499" t="s">
        <v>702</v>
      </c>
      <c r="J19" s="501" t="s">
        <v>703</v>
      </c>
      <c r="K19" s="497" t="s">
        <v>291</v>
      </c>
      <c r="N19" s="500" t="s">
        <v>341</v>
      </c>
      <c r="O19" s="497" t="s">
        <v>1240</v>
      </c>
      <c r="P19" t="s">
        <v>1240</v>
      </c>
    </row>
    <row r="20" spans="5:16">
      <c r="E20" s="460" t="s">
        <v>38</v>
      </c>
      <c r="F20" s="501" t="s">
        <v>146</v>
      </c>
      <c r="G20" s="497" t="s">
        <v>37</v>
      </c>
      <c r="I20" s="500" t="s">
        <v>702</v>
      </c>
      <c r="J20" s="501" t="s">
        <v>723</v>
      </c>
      <c r="K20" s="497" t="s">
        <v>186</v>
      </c>
      <c r="L20" t="str">
        <f>K20</f>
        <v>Metta</v>
      </c>
      <c r="N20" s="499" t="s">
        <v>299</v>
      </c>
      <c r="O20" s="497" t="s">
        <v>318</v>
      </c>
      <c r="P20" t="s">
        <v>2777</v>
      </c>
    </row>
    <row r="21" spans="5:16">
      <c r="E21" s="460" t="s">
        <v>38</v>
      </c>
      <c r="F21" s="501" t="s">
        <v>151</v>
      </c>
      <c r="G21" s="497" t="s">
        <v>135</v>
      </c>
      <c r="H21" t="str">
        <f>G21&amp;", "&amp;G22</f>
        <v>KBC, KMSS</v>
      </c>
      <c r="I21" s="191"/>
      <c r="J21" s="415"/>
      <c r="K21" s="415"/>
    </row>
    <row r="22" spans="5:16">
      <c r="E22" s="460" t="s">
        <v>38</v>
      </c>
      <c r="F22" s="501" t="s">
        <v>151</v>
      </c>
      <c r="G22" s="497" t="s">
        <v>37</v>
      </c>
      <c r="I22" s="191"/>
      <c r="J22" s="415"/>
      <c r="K22" s="415"/>
      <c r="N22" s="499" t="s">
        <v>323</v>
      </c>
      <c r="O22" s="497" t="s">
        <v>373</v>
      </c>
      <c r="P22" t="s">
        <v>2778</v>
      </c>
    </row>
    <row r="23" spans="5:16">
      <c r="E23" s="460" t="s">
        <v>38</v>
      </c>
      <c r="F23" s="501" t="s">
        <v>199</v>
      </c>
      <c r="G23" s="497" t="s">
        <v>135</v>
      </c>
      <c r="H23" t="str">
        <f>G23&amp;", "&amp;G26&amp;", "&amp;G27&amp;", "&amp;G28</f>
        <v>KBC, Metta, KMSS, SI, WPN</v>
      </c>
      <c r="I23" s="191" t="s">
        <v>22</v>
      </c>
      <c r="J23" s="415" t="s">
        <v>23</v>
      </c>
      <c r="K23" s="415" t="s">
        <v>21</v>
      </c>
      <c r="N23" s="500" t="s">
        <v>306</v>
      </c>
      <c r="O23" s="497" t="s">
        <v>1240</v>
      </c>
      <c r="P23" s="497" t="s">
        <v>1240</v>
      </c>
    </row>
    <row r="24" spans="5:16">
      <c r="E24" s="460" t="s">
        <v>38</v>
      </c>
      <c r="F24" s="501" t="s">
        <v>199</v>
      </c>
      <c r="G24" s="497" t="s">
        <v>37</v>
      </c>
      <c r="I24" s="191" t="s">
        <v>702</v>
      </c>
      <c r="J24" s="191" t="s">
        <v>721</v>
      </c>
      <c r="K24" t="s">
        <v>1915</v>
      </c>
      <c r="L24" s="415"/>
      <c r="M24"/>
      <c r="N24" s="500" t="s">
        <v>309</v>
      </c>
      <c r="O24" s="497" t="s">
        <v>2750</v>
      </c>
      <c r="P24" s="497" t="s">
        <v>2750</v>
      </c>
    </row>
    <row r="25" spans="5:16">
      <c r="E25" s="460" t="s">
        <v>38</v>
      </c>
      <c r="F25" s="501" t="s">
        <v>199</v>
      </c>
      <c r="G25" s="497" t="s">
        <v>186</v>
      </c>
      <c r="I25" t="s">
        <v>702</v>
      </c>
      <c r="J25" t="s">
        <v>706</v>
      </c>
      <c r="K25" t="s">
        <v>2771</v>
      </c>
      <c r="L25" s="415"/>
      <c r="M25"/>
      <c r="N25" s="500" t="s">
        <v>475</v>
      </c>
      <c r="O25" s="497" t="s">
        <v>2614</v>
      </c>
      <c r="P25" s="497" t="s">
        <v>2614</v>
      </c>
    </row>
    <row r="26" spans="5:16">
      <c r="E26" s="460" t="s">
        <v>38</v>
      </c>
      <c r="F26" s="501" t="s">
        <v>199</v>
      </c>
      <c r="G26" s="497" t="s">
        <v>2696</v>
      </c>
      <c r="I26" t="s">
        <v>702</v>
      </c>
      <c r="J26" t="s">
        <v>709</v>
      </c>
      <c r="K26" t="s">
        <v>1203</v>
      </c>
      <c r="L26" s="415"/>
      <c r="M26"/>
      <c r="N26" s="500" t="s">
        <v>406</v>
      </c>
      <c r="O26" s="496" t="s">
        <v>1240</v>
      </c>
      <c r="P26" s="496" t="s">
        <v>1240</v>
      </c>
    </row>
    <row r="27" spans="5:16">
      <c r="E27" s="460" t="s">
        <v>38</v>
      </c>
      <c r="F27" s="501" t="s">
        <v>199</v>
      </c>
      <c r="G27" s="497" t="s">
        <v>270</v>
      </c>
      <c r="I27" t="s">
        <v>702</v>
      </c>
      <c r="J27" t="s">
        <v>712</v>
      </c>
      <c r="K27" t="s">
        <v>2772</v>
      </c>
      <c r="L27" s="415"/>
      <c r="M27"/>
    </row>
    <row r="28" spans="5:16">
      <c r="E28" s="460" t="s">
        <v>38</v>
      </c>
      <c r="F28" s="501" t="s">
        <v>199</v>
      </c>
      <c r="G28" s="497" t="s">
        <v>285</v>
      </c>
      <c r="I28" t="s">
        <v>702</v>
      </c>
      <c r="J28" t="s">
        <v>703</v>
      </c>
      <c r="K28" t="s">
        <v>1205</v>
      </c>
      <c r="L28" s="415"/>
      <c r="M28"/>
    </row>
    <row r="29" spans="5:16">
      <c r="E29" s="460" t="s">
        <v>38</v>
      </c>
      <c r="F29" s="501" t="s">
        <v>153</v>
      </c>
      <c r="G29" s="497" t="s">
        <v>135</v>
      </c>
      <c r="H29" t="str">
        <f>G29&amp;", "&amp;G30&amp;", "&amp;G31</f>
        <v>KBC, KMSS, Shalom</v>
      </c>
      <c r="I29" t="s">
        <v>702</v>
      </c>
      <c r="J29" t="s">
        <v>723</v>
      </c>
      <c r="K29" t="s">
        <v>186</v>
      </c>
      <c r="L29" s="415"/>
      <c r="M29"/>
    </row>
    <row r="30" spans="5:16">
      <c r="E30" s="460" t="s">
        <v>38</v>
      </c>
      <c r="F30" s="501" t="s">
        <v>153</v>
      </c>
      <c r="G30" s="497" t="s">
        <v>37</v>
      </c>
    </row>
    <row r="31" spans="5:16">
      <c r="E31" s="460" t="s">
        <v>38</v>
      </c>
      <c r="F31" s="501" t="s">
        <v>153</v>
      </c>
      <c r="G31" s="497" t="s">
        <v>236</v>
      </c>
    </row>
    <row r="32" spans="5:16">
      <c r="E32" s="460" t="s">
        <v>38</v>
      </c>
      <c r="F32" s="501" t="s">
        <v>167</v>
      </c>
      <c r="G32" s="497" t="s">
        <v>135</v>
      </c>
      <c r="H32" t="str">
        <f>G32</f>
        <v>KBC</v>
      </c>
    </row>
    <row r="33" spans="5:13">
      <c r="E33" s="460" t="s">
        <v>38</v>
      </c>
      <c r="F33" s="501" t="s">
        <v>208</v>
      </c>
      <c r="G33" s="497" t="s">
        <v>135</v>
      </c>
      <c r="H33" t="str">
        <f>G33&amp;", "&amp;G34</f>
        <v>KBC, Metta</v>
      </c>
    </row>
    <row r="34" spans="5:13">
      <c r="E34" s="460" t="s">
        <v>38</v>
      </c>
      <c r="F34" s="501" t="s">
        <v>208</v>
      </c>
      <c r="G34" s="497" t="s">
        <v>186</v>
      </c>
    </row>
    <row r="35" spans="5:13">
      <c r="E35" s="460" t="s">
        <v>38</v>
      </c>
      <c r="F35" s="501" t="s">
        <v>178</v>
      </c>
      <c r="G35" s="497" t="s">
        <v>135</v>
      </c>
      <c r="H35" t="str">
        <f>G35</f>
        <v>KBC</v>
      </c>
    </row>
    <row r="36" spans="5:13">
      <c r="E36" s="460" t="s">
        <v>38</v>
      </c>
      <c r="F36" s="501" t="s">
        <v>136</v>
      </c>
      <c r="G36" s="497" t="s">
        <v>135</v>
      </c>
      <c r="H36" t="str">
        <f>G37&amp;", "&amp;G39&amp;", "&amp;G41</f>
        <v>KBC, KMSS, Metta, Shalom</v>
      </c>
    </row>
    <row r="37" spans="5:13">
      <c r="E37" s="460" t="s">
        <v>38</v>
      </c>
      <c r="F37" s="501" t="s">
        <v>136</v>
      </c>
      <c r="G37" s="497" t="s">
        <v>2123</v>
      </c>
    </row>
    <row r="38" spans="5:13">
      <c r="E38" s="460" t="s">
        <v>38</v>
      </c>
      <c r="F38" s="501" t="s">
        <v>136</v>
      </c>
      <c r="G38" s="497" t="s">
        <v>37</v>
      </c>
    </row>
    <row r="39" spans="5:13">
      <c r="E39" s="460" t="s">
        <v>38</v>
      </c>
      <c r="F39" s="501" t="s">
        <v>136</v>
      </c>
      <c r="G39" s="497" t="s">
        <v>186</v>
      </c>
    </row>
    <row r="40" spans="5:13">
      <c r="E40" s="460" t="s">
        <v>38</v>
      </c>
      <c r="F40" s="501" t="s">
        <v>136</v>
      </c>
      <c r="G40" s="497" t="s">
        <v>2696</v>
      </c>
    </row>
    <row r="41" spans="5:13">
      <c r="E41" s="503" t="s">
        <v>38</v>
      </c>
      <c r="F41" s="501" t="s">
        <v>136</v>
      </c>
      <c r="G41" s="497" t="s">
        <v>236</v>
      </c>
    </row>
    <row r="44" spans="5:13">
      <c r="E44" t="s">
        <v>22</v>
      </c>
      <c r="F44" t="s">
        <v>23</v>
      </c>
      <c r="L44" s="415"/>
      <c r="M44"/>
    </row>
    <row r="45" spans="5:13">
      <c r="E45" t="s">
        <v>38</v>
      </c>
      <c r="F45" t="s">
        <v>189</v>
      </c>
      <c r="G45" t="s">
        <v>2121</v>
      </c>
      <c r="L45" s="415"/>
      <c r="M45"/>
    </row>
    <row r="46" spans="5:13">
      <c r="E46" t="s">
        <v>38</v>
      </c>
      <c r="F46" t="s">
        <v>140</v>
      </c>
      <c r="G46" t="s">
        <v>2122</v>
      </c>
      <c r="L46" s="415"/>
      <c r="M46"/>
    </row>
    <row r="47" spans="5:13">
      <c r="E47" t="s">
        <v>38</v>
      </c>
      <c r="F47" t="s">
        <v>142</v>
      </c>
      <c r="G47" t="s">
        <v>2122</v>
      </c>
      <c r="L47" s="415"/>
      <c r="M47"/>
    </row>
    <row r="48" spans="5:13">
      <c r="E48" t="s">
        <v>38</v>
      </c>
      <c r="F48" t="s">
        <v>39</v>
      </c>
      <c r="G48" t="s">
        <v>2769</v>
      </c>
      <c r="L48" s="415"/>
      <c r="M48"/>
    </row>
    <row r="49" spans="5:13">
      <c r="E49" t="s">
        <v>38</v>
      </c>
      <c r="F49" t="s">
        <v>146</v>
      </c>
      <c r="G49" t="s">
        <v>2123</v>
      </c>
      <c r="L49" s="415"/>
      <c r="M49"/>
    </row>
    <row r="50" spans="5:13">
      <c r="E50" t="s">
        <v>38</v>
      </c>
      <c r="F50" t="s">
        <v>151</v>
      </c>
      <c r="G50" t="s">
        <v>2123</v>
      </c>
      <c r="L50" s="415"/>
      <c r="M50"/>
    </row>
    <row r="51" spans="5:13">
      <c r="E51" t="s">
        <v>38</v>
      </c>
      <c r="F51" t="s">
        <v>199</v>
      </c>
      <c r="G51" t="s">
        <v>2770</v>
      </c>
      <c r="L51" s="415"/>
      <c r="M51"/>
    </row>
    <row r="52" spans="5:13">
      <c r="E52" s="191" t="s">
        <v>38</v>
      </c>
      <c r="F52" s="191" t="s">
        <v>153</v>
      </c>
      <c r="G52" t="s">
        <v>2122</v>
      </c>
      <c r="L52" s="415"/>
      <c r="M52"/>
    </row>
    <row r="53" spans="5:13">
      <c r="E53" s="191" t="s">
        <v>38</v>
      </c>
      <c r="F53" s="191" t="s">
        <v>167</v>
      </c>
      <c r="G53" t="s">
        <v>135</v>
      </c>
      <c r="L53" s="415"/>
      <c r="M53"/>
    </row>
    <row r="54" spans="5:13">
      <c r="E54" s="191" t="s">
        <v>38</v>
      </c>
      <c r="F54" s="191" t="s">
        <v>208</v>
      </c>
      <c r="G54" t="s">
        <v>1928</v>
      </c>
      <c r="L54" s="415"/>
      <c r="M54"/>
    </row>
    <row r="55" spans="5:13">
      <c r="E55" s="191" t="s">
        <v>38</v>
      </c>
      <c r="F55" s="191" t="s">
        <v>178</v>
      </c>
      <c r="G55" t="s">
        <v>135</v>
      </c>
      <c r="L55" s="415"/>
      <c r="M55"/>
    </row>
    <row r="56" spans="5:13">
      <c r="E56" s="191" t="s">
        <v>38</v>
      </c>
      <c r="F56" s="191" t="s">
        <v>136</v>
      </c>
      <c r="G56" t="s">
        <v>2124</v>
      </c>
      <c r="L56" s="415"/>
      <c r="M56"/>
    </row>
    <row r="57" spans="5:13">
      <c r="E57" s="191"/>
      <c r="F57" s="191"/>
    </row>
    <row r="58" spans="5:13">
      <c r="E58" s="191"/>
      <c r="F58" s="191"/>
    </row>
    <row r="59" spans="5:13">
      <c r="E59" s="191"/>
      <c r="F59" s="191"/>
    </row>
    <row r="60" spans="5:13">
      <c r="E60" s="191"/>
      <c r="F60" s="191"/>
    </row>
    <row r="61" spans="5:13">
      <c r="E61" s="208"/>
      <c r="F61" s="19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Guide</vt:lpstr>
      <vt:lpstr>Sheet2</vt:lpstr>
      <vt:lpstr>DATABASE</vt:lpstr>
      <vt:lpstr>Site_DB</vt:lpstr>
      <vt:lpstr>HRP Calculations</vt:lpstr>
      <vt:lpstr>Indicator Summary  Eng</vt:lpstr>
      <vt:lpstr>Indicator Summary  MM</vt:lpstr>
      <vt:lpstr>HRP</vt:lpstr>
      <vt:lpstr>Sheet1</vt:lpstr>
      <vt:lpstr>Analysis</vt:lpstr>
      <vt:lpstr>Quarterly Dashboard</vt:lpstr>
      <vt:lpstr>Rakhine</vt:lpstr>
      <vt:lpstr>AAP-community Feedback</vt:lpstr>
      <vt:lpstr>By Camps</vt:lpstr>
      <vt:lpstr>Tracking Dashboard</vt:lpstr>
      <vt:lpstr>Lookup</vt:lpstr>
      <vt:lpstr>'HRP Calculations'!Print_Area</vt:lpstr>
      <vt:lpstr>'Indicator Summary  Eng'!Print_Area</vt:lpstr>
      <vt:lpstr>'Indicator Summary  MM'!Print_Area</vt:lpstr>
      <vt:lpstr>Rakhine!Print_Area</vt:lpstr>
      <vt:lpstr>'Indicator Summary  Eng'!Print_Titles</vt:lpstr>
      <vt:lpstr>'Indicator Summary  MM'!Print_Titles</vt:lpstr>
      <vt:lpstr>State_list</vt:lpstr>
      <vt:lpstr>Statestart_1</vt:lpstr>
      <vt:lpstr>Township_list</vt:lpstr>
      <vt:lpstr>Township_start</vt:lpstr>
      <vt:lpstr>TSps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Robertson</dc:creator>
  <cp:keywords/>
  <dc:description/>
  <cp:lastModifiedBy>Administrator</cp:lastModifiedBy>
  <cp:revision/>
  <cp:lastPrinted>2019-08-13T08:16:35Z</cp:lastPrinted>
  <dcterms:created xsi:type="dcterms:W3CDTF">2016-05-30T15:30:45Z</dcterms:created>
  <dcterms:modified xsi:type="dcterms:W3CDTF">2019-08-13T10:10:33Z</dcterms:modified>
  <cp:category/>
  <cp:contentStatus/>
</cp:coreProperties>
</file>