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https://mercycorpsorg-my.sharepoint.com/personal/jnelson_mercycorps_org/Documents/"/>
    </mc:Choice>
  </mc:AlternateContent>
  <xr:revisionPtr revIDLastSave="149" documentId="8_{6607FB9F-CD72-2C43-85AB-F77B57790CCA}" xr6:coauthVersionLast="47" xr6:coauthVersionMax="47" xr10:uidLastSave="{AAC072AB-8CA0-A44F-A49C-90A692427498}"/>
  <bookViews>
    <workbookView xWindow="200" yWindow="860" windowWidth="18300" windowHeight="19600" activeTab="1" xr2:uid="{00000000-000D-0000-FFFF-FFFF00000000}"/>
  </bookViews>
  <sheets>
    <sheet name="National Level SMEB " sheetId="2" r:id="rId1"/>
    <sheet name="Consolidated State Tables" sheetId="21" r:id="rId2"/>
    <sheet name="Chin" sheetId="6" r:id="rId3"/>
    <sheet name="Kachin" sheetId="4" r:id="rId4"/>
    <sheet name="Kayah" sheetId="12" r:id="rId5"/>
    <sheet name="Kayin" sheetId="13" r:id="rId6"/>
    <sheet name="Magway" sheetId="8" r:id="rId7"/>
    <sheet name="Mandalay" sheetId="7" r:id="rId8"/>
    <sheet name="Mon" sheetId="20" r:id="rId9"/>
    <sheet name="Rakhine" sheetId="9" r:id="rId10"/>
    <sheet name="Sagaing North" sheetId="17" r:id="rId11"/>
    <sheet name="Sagaing South Central" sheetId="27" r:id="rId12"/>
    <sheet name="Shan (North)" sheetId="11" r:id="rId13"/>
    <sheet name="Shan (South)" sheetId="26" r:id="rId14"/>
    <sheet name="Tanintharyi" sheetId="19" r:id="rId15"/>
    <sheet name="Yangon" sheetId="14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1" l="1"/>
  <c r="F17" i="21"/>
  <c r="C17" i="21" s="1"/>
  <c r="B11" i="21"/>
  <c r="F11" i="21" s="1"/>
  <c r="B18" i="21"/>
  <c r="F18" i="21" s="1"/>
  <c r="B14" i="21"/>
  <c r="F14" i="21" s="1"/>
  <c r="C14" i="21" s="1"/>
  <c r="H9" i="27"/>
  <c r="H8" i="27"/>
  <c r="H7" i="27"/>
  <c r="H6" i="27"/>
  <c r="H9" i="26"/>
  <c r="H8" i="26"/>
  <c r="H7" i="26"/>
  <c r="H6" i="26"/>
  <c r="H9" i="20"/>
  <c r="H8" i="20"/>
  <c r="H7" i="20"/>
  <c r="H6" i="20"/>
  <c r="H8" i="19"/>
  <c r="H7" i="19"/>
  <c r="H6" i="19"/>
  <c r="H5" i="19"/>
  <c r="H9" i="17"/>
  <c r="H8" i="17"/>
  <c r="H7" i="17"/>
  <c r="H6" i="17"/>
  <c r="H9" i="14"/>
  <c r="H8" i="14"/>
  <c r="H7" i="14"/>
  <c r="H6" i="14"/>
  <c r="H9" i="13"/>
  <c r="H8" i="13"/>
  <c r="H7" i="13"/>
  <c r="H6" i="13"/>
  <c r="H9" i="12"/>
  <c r="H8" i="12"/>
  <c r="H7" i="12"/>
  <c r="H6" i="12"/>
  <c r="H9" i="11"/>
  <c r="H8" i="11"/>
  <c r="H7" i="11"/>
  <c r="H6" i="11"/>
  <c r="H8" i="9"/>
  <c r="H7" i="9"/>
  <c r="H6" i="9"/>
  <c r="H5" i="9"/>
  <c r="H8" i="7"/>
  <c r="H7" i="7"/>
  <c r="H6" i="7"/>
  <c r="H5" i="7"/>
  <c r="H8" i="8"/>
  <c r="H7" i="8"/>
  <c r="H6" i="8"/>
  <c r="H5" i="8"/>
  <c r="H7" i="4"/>
  <c r="H6" i="4"/>
  <c r="H5" i="4"/>
  <c r="H4" i="4"/>
  <c r="H9" i="6"/>
  <c r="H8" i="6"/>
  <c r="H7" i="6"/>
  <c r="H6" i="6"/>
  <c r="D18" i="21" l="1"/>
  <c r="C18" i="21"/>
  <c r="E18" i="21"/>
  <c r="G18" i="21"/>
  <c r="H18" i="21" s="1"/>
  <c r="C11" i="21"/>
  <c r="G11" i="21"/>
  <c r="H11" i="21" s="1"/>
  <c r="D11" i="21"/>
  <c r="E11" i="21"/>
  <c r="G17" i="21"/>
  <c r="H17" i="21" s="1"/>
  <c r="D17" i="21"/>
  <c r="E17" i="21"/>
  <c r="G14" i="21"/>
  <c r="H14" i="21" s="1"/>
  <c r="E14" i="21"/>
  <c r="D14" i="21"/>
  <c r="H10" i="27"/>
  <c r="J6" i="27" s="1"/>
  <c r="L6" i="27" s="1"/>
  <c r="H9" i="9"/>
  <c r="H10" i="26"/>
  <c r="H10" i="14"/>
  <c r="H10" i="20"/>
  <c r="H9" i="19"/>
  <c r="H10" i="13"/>
  <c r="H10" i="12"/>
  <c r="H10" i="11"/>
  <c r="H10" i="17"/>
  <c r="H9" i="7"/>
  <c r="H9" i="8"/>
  <c r="H8" i="4"/>
  <c r="H10" i="6"/>
  <c r="J6" i="26" l="1"/>
  <c r="L6" i="26" s="1"/>
  <c r="B16" i="21"/>
  <c r="F16" i="21" s="1"/>
  <c r="J5" i="7"/>
  <c r="L5" i="7" s="1"/>
  <c r="B10" i="21"/>
  <c r="F10" i="21" s="1"/>
  <c r="J6" i="14"/>
  <c r="L6" i="14" s="1"/>
  <c r="J6" i="20"/>
  <c r="L6" i="20" s="1"/>
  <c r="J5" i="19"/>
  <c r="L5" i="19" s="1"/>
  <c r="J6" i="13"/>
  <c r="L6" i="13" s="1"/>
  <c r="B8" i="21"/>
  <c r="F8" i="21" s="1"/>
  <c r="J6" i="12"/>
  <c r="L6" i="12" s="1"/>
  <c r="B7" i="21"/>
  <c r="F7" i="21" s="1"/>
  <c r="J6" i="11"/>
  <c r="L6" i="11" s="1"/>
  <c r="B15" i="21"/>
  <c r="F15" i="21" s="1"/>
  <c r="J6" i="17"/>
  <c r="L6" i="17" s="1"/>
  <c r="B13" i="21"/>
  <c r="F13" i="21" s="1"/>
  <c r="J5" i="8"/>
  <c r="L5" i="8" s="1"/>
  <c r="B9" i="21"/>
  <c r="F9" i="21" s="1"/>
  <c r="J4" i="4"/>
  <c r="L4" i="4" s="1"/>
  <c r="B6" i="21"/>
  <c r="F6" i="21" s="1"/>
  <c r="J6" i="6"/>
  <c r="L6" i="6" s="1"/>
  <c r="B5" i="21"/>
  <c r="J5" i="9"/>
  <c r="L5" i="9" s="1"/>
  <c r="B12" i="21"/>
  <c r="F5" i="21" l="1"/>
  <c r="B2" i="2"/>
  <c r="C16" i="21"/>
  <c r="D16" i="21"/>
  <c r="G16" i="21"/>
  <c r="H16" i="21" s="1"/>
  <c r="E16" i="21"/>
  <c r="F12" i="21"/>
  <c r="E12" i="21" s="1"/>
  <c r="F2" i="2"/>
  <c r="G2" i="2" s="1"/>
  <c r="H2" i="2" s="1"/>
  <c r="D10" i="21"/>
  <c r="C10" i="21"/>
  <c r="E10" i="21"/>
  <c r="G10" i="21"/>
  <c r="H10" i="21" s="1"/>
  <c r="E8" i="21"/>
  <c r="C8" i="21"/>
  <c r="G8" i="21"/>
  <c r="H8" i="21" s="1"/>
  <c r="D8" i="21"/>
  <c r="G7" i="21"/>
  <c r="H7" i="21" s="1"/>
  <c r="D7" i="21"/>
  <c r="C7" i="21"/>
  <c r="E7" i="21"/>
  <c r="G15" i="21"/>
  <c r="H15" i="21" s="1"/>
  <c r="D15" i="21"/>
  <c r="E15" i="21"/>
  <c r="C15" i="21"/>
  <c r="D13" i="21"/>
  <c r="C13" i="21"/>
  <c r="G13" i="21"/>
  <c r="H13" i="21" s="1"/>
  <c r="E13" i="21"/>
  <c r="G9" i="21"/>
  <c r="H9" i="21" s="1"/>
  <c r="C9" i="21"/>
  <c r="E9" i="21"/>
  <c r="D9" i="21"/>
  <c r="E6" i="21"/>
  <c r="D6" i="21"/>
  <c r="G6" i="21"/>
  <c r="H6" i="21" s="1"/>
  <c r="C6" i="21"/>
  <c r="G5" i="21"/>
  <c r="H5" i="21" s="1"/>
  <c r="C5" i="21"/>
  <c r="D5" i="21"/>
  <c r="E5" i="21"/>
  <c r="C12" i="21" l="1"/>
  <c r="G12" i="21"/>
  <c r="H12" i="21" s="1"/>
  <c r="D12" i="21"/>
  <c r="C2" i="2"/>
  <c r="E2" i="2"/>
  <c r="D2" i="2"/>
</calcChain>
</file>

<file path=xl/sharedStrings.xml><?xml version="1.0" encoding="utf-8"?>
<sst xmlns="http://schemas.openxmlformats.org/spreadsheetml/2006/main" count="452" uniqueCount="61">
  <si>
    <t>Household (HH) size 5 conversion</t>
  </si>
  <si>
    <t xml:space="preserve">Specification </t>
  </si>
  <si>
    <t>Unit of Measure</t>
  </si>
  <si>
    <t xml:space="preserve">Commodity </t>
  </si>
  <si>
    <t>WFP Ration Size (per individual)</t>
  </si>
  <si>
    <t>Ration cost based on average price</t>
  </si>
  <si>
    <t>Food Cost per person</t>
  </si>
  <si>
    <t xml:space="preserve">HH Size </t>
  </si>
  <si>
    <t xml:space="preserve">Rice </t>
  </si>
  <si>
    <t>Low Quality</t>
  </si>
  <si>
    <t>kg</t>
  </si>
  <si>
    <t>Pulses</t>
  </si>
  <si>
    <t>Chick peas</t>
  </si>
  <si>
    <t>Cooking Oil</t>
  </si>
  <si>
    <t>Palm Oil</t>
  </si>
  <si>
    <t>liter</t>
  </si>
  <si>
    <t>Salt</t>
  </si>
  <si>
    <t>Total</t>
  </si>
  <si>
    <t>State</t>
  </si>
  <si>
    <t>Other
4% of SMEB</t>
  </si>
  <si>
    <t>Total Cost of SMEB per individual</t>
  </si>
  <si>
    <t>Cost of SMEB for a household of 5</t>
  </si>
  <si>
    <t>Chin</t>
  </si>
  <si>
    <t>Kachin</t>
  </si>
  <si>
    <t>Magway</t>
  </si>
  <si>
    <t>Mandalay</t>
  </si>
  <si>
    <t>Sagaing North</t>
  </si>
  <si>
    <t>Shan (North)</t>
  </si>
  <si>
    <t>Kayah</t>
  </si>
  <si>
    <t>Kayin</t>
  </si>
  <si>
    <t>Thanintharyri</t>
  </si>
  <si>
    <t>Mon</t>
  </si>
  <si>
    <t>Yangon</t>
  </si>
  <si>
    <t>Food Cost</t>
  </si>
  <si>
    <t>Cost of individual full ration per month</t>
  </si>
  <si>
    <t>Commodity/Item</t>
  </si>
  <si>
    <t>Total MMK per HH size 5</t>
  </si>
  <si>
    <t>Chin State</t>
  </si>
  <si>
    <t>Kachin State</t>
  </si>
  <si>
    <t>Shan North</t>
  </si>
  <si>
    <t xml:space="preserve">Kayah </t>
  </si>
  <si>
    <t>Shelter (recurring not shelter buidling materials) 
10% of SMEB</t>
  </si>
  <si>
    <t>Non-Food Items including WASH (health not included)
21% of SEMB</t>
  </si>
  <si>
    <t>Avg Price Dec 22 (MMK)</t>
  </si>
  <si>
    <t>Sagaing North (Hkamti, Lahe, LayShi, Nanyun)</t>
  </si>
  <si>
    <t>Shan South</t>
  </si>
  <si>
    <t>Tanintharyi</t>
  </si>
  <si>
    <t>Rakhine</t>
  </si>
  <si>
    <t>Shan (South)</t>
  </si>
  <si>
    <t>Cost of SMEB for a household of 5. Rounded to nearest 5,000</t>
  </si>
  <si>
    <t>Cost of SMEB for a household of 5 Rounded to nearest 5,000 MMK</t>
  </si>
  <si>
    <t>Shelter (recurring not shelter building materials) 
10% of SMEB</t>
  </si>
  <si>
    <t>Avg Price May 2023 (MMK)</t>
  </si>
  <si>
    <t>Average Price May 2023</t>
  </si>
  <si>
    <t>Sagaing South Central</t>
  </si>
  <si>
    <t>Sagaing South/Central</t>
  </si>
  <si>
    <t>Nationwide Average</t>
  </si>
  <si>
    <t>Cost of Individual full food ration (May 2023)</t>
  </si>
  <si>
    <t>Cost of Individual full food ration (May 2023) 65% of SMEB</t>
  </si>
  <si>
    <t>Avg Price May 2023  (MMK)</t>
  </si>
  <si>
    <t>**Used Northern Sagaing palm oil price in absence of valid data for South Central Sagaing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</si>
</sst>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K]#,##0"/>
    <numFmt numFmtId="165" formatCode="#,##0\ [$K-455]"/>
  </numFmts>
  <fonts count="11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000000"/>
      <name val="Arial (Body)"/>
    </font>
    <font>
      <sz val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5B95F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1" fontId="2" fillId="0" borderId="0" xfId="0" applyNumberFormat="1" applyFont="1"/>
    <xf numFmtId="1" fontId="1" fillId="0" borderId="0" xfId="0" applyNumberFormat="1" applyFont="1"/>
    <xf numFmtId="9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8" fillId="0" borderId="1" xfId="0" applyFont="1" applyBorder="1"/>
    <xf numFmtId="0" fontId="8" fillId="0" borderId="5" xfId="0" applyFont="1" applyBorder="1"/>
    <xf numFmtId="1" fontId="8" fillId="0" borderId="8" xfId="0" applyNumberFormat="1" applyFont="1" applyBorder="1"/>
    <xf numFmtId="1" fontId="8" fillId="0" borderId="9" xfId="0" applyNumberFormat="1" applyFont="1" applyBorder="1"/>
    <xf numFmtId="0" fontId="7" fillId="0" borderId="7" xfId="0" applyFont="1" applyBorder="1"/>
    <xf numFmtId="0" fontId="7" fillId="0" borderId="8" xfId="0" applyFont="1" applyBorder="1"/>
    <xf numFmtId="1" fontId="8" fillId="0" borderId="7" xfId="0" applyNumberFormat="1" applyFont="1" applyBorder="1"/>
    <xf numFmtId="0" fontId="9" fillId="0" borderId="0" xfId="0" applyFont="1"/>
    <xf numFmtId="165" fontId="3" fillId="0" borderId="1" xfId="0" applyNumberFormat="1" applyFont="1" applyBorder="1" applyAlignment="1">
      <alignment wrapText="1"/>
    </xf>
    <xf numFmtId="165" fontId="0" fillId="0" borderId="1" xfId="0" applyNumberFormat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165" fontId="3" fillId="0" borderId="6" xfId="0" applyNumberFormat="1" applyFont="1" applyBorder="1" applyAlignment="1">
      <alignment wrapText="1"/>
    </xf>
    <xf numFmtId="0" fontId="3" fillId="0" borderId="7" xfId="0" applyFont="1" applyBorder="1"/>
    <xf numFmtId="165" fontId="0" fillId="0" borderId="8" xfId="0" applyNumberFormat="1" applyBorder="1"/>
    <xf numFmtId="165" fontId="3" fillId="0" borderId="8" xfId="0" applyNumberFormat="1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165" fontId="0" fillId="0" borderId="9" xfId="0" applyNumberFormat="1" applyBorder="1"/>
    <xf numFmtId="165" fontId="8" fillId="0" borderId="6" xfId="0" applyNumberFormat="1" applyFont="1" applyBorder="1"/>
    <xf numFmtId="165" fontId="7" fillId="0" borderId="9" xfId="0" applyNumberFormat="1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5" fontId="8" fillId="0" borderId="1" xfId="0" applyNumberFormat="1" applyFont="1" applyBorder="1"/>
    <xf numFmtId="165" fontId="4" fillId="0" borderId="3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4" fillId="0" borderId="10" xfId="0" applyNumberFormat="1" applyFont="1" applyBorder="1"/>
    <xf numFmtId="0" fontId="3" fillId="0" borderId="5" xfId="0" applyFont="1" applyBorder="1" applyAlignment="1"/>
    <xf numFmtId="165" fontId="3" fillId="0" borderId="1" xfId="0" applyNumberFormat="1" applyFont="1" applyBorder="1" applyAlignment="1"/>
    <xf numFmtId="0" fontId="3" fillId="0" borderId="7" xfId="0" applyFont="1" applyBorder="1" applyAlignment="1">
      <alignment wrapText="1"/>
    </xf>
  </cellXfs>
  <cellStyles count="1">
    <cellStyle name="Normal" xfId="0" builtinId="0"/>
  </cellStyles>
  <dxfs count="3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solid">
          <fgColor rgb="FF5B95F9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solid">
          <fgColor rgb="FF5B95F9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11">
    <tableStyle name="Food-style" pivot="0" count="3" xr9:uid="{00000000-0011-0000-FFFF-FFFF00000000}">
      <tableStyleElement type="headerRow" dxfId="380"/>
      <tableStyleElement type="firstRowStripe" dxfId="379"/>
      <tableStyleElement type="secondRowStripe" dxfId="378"/>
    </tableStyle>
    <tableStyle name="Food-style 2" pivot="0" count="3" xr9:uid="{00000000-0011-0000-FFFF-FFFF01000000}">
      <tableStyleElement type="headerRow" dxfId="377"/>
      <tableStyleElement type="firstRowStripe" dxfId="376"/>
      <tableStyleElement type="secondRowStripe" dxfId="375"/>
    </tableStyle>
    <tableStyle name="Food-style 3" pivot="0" count="3" xr9:uid="{00000000-0011-0000-FFFF-FFFF02000000}">
      <tableStyleElement type="headerRow" dxfId="374"/>
      <tableStyleElement type="firstRowStripe" dxfId="373"/>
      <tableStyleElement type="secondRowStripe" dxfId="372"/>
    </tableStyle>
    <tableStyle name="Food-style 4" pivot="0" count="3" xr9:uid="{00000000-0011-0000-FFFF-FFFF03000000}">
      <tableStyleElement type="headerRow" dxfId="371"/>
      <tableStyleElement type="firstRowStripe" dxfId="370"/>
      <tableStyleElement type="secondRowStripe" dxfId="369"/>
    </tableStyle>
    <tableStyle name="Food-style 5" pivot="0" count="3" xr9:uid="{00000000-0011-0000-FFFF-FFFF04000000}">
      <tableStyleElement type="headerRow" dxfId="368"/>
      <tableStyleElement type="firstRowStripe" dxfId="367"/>
      <tableStyleElement type="secondRowStripe" dxfId="366"/>
    </tableStyle>
    <tableStyle name="Food-style 6" pivot="0" count="3" xr9:uid="{00000000-0011-0000-FFFF-FFFF05000000}">
      <tableStyleElement type="headerRow" dxfId="365"/>
      <tableStyleElement type="firstRowStripe" dxfId="364"/>
      <tableStyleElement type="secondRowStripe" dxfId="363"/>
    </tableStyle>
    <tableStyle name="Updated SMEB -style" pivot="0" count="3" xr9:uid="{00000000-0011-0000-FFFF-FFFF06000000}">
      <tableStyleElement type="headerRow" dxfId="362"/>
      <tableStyleElement type="firstRowStripe" dxfId="361"/>
      <tableStyleElement type="secondRowStripe" dxfId="360"/>
    </tableStyle>
    <tableStyle name="Updated SMEB -style 2" pivot="0" count="3" xr9:uid="{00000000-0011-0000-FFFF-FFFF07000000}">
      <tableStyleElement type="headerRow" dxfId="359"/>
      <tableStyleElement type="firstRowStripe" dxfId="358"/>
      <tableStyleElement type="secondRowStripe" dxfId="357"/>
    </tableStyle>
    <tableStyle name="Updated SMEB -style 3" pivot="0" count="3" xr9:uid="{00000000-0011-0000-FFFF-FFFF08000000}">
      <tableStyleElement type="headerRow" dxfId="356"/>
      <tableStyleElement type="firstRowStripe" dxfId="355"/>
      <tableStyleElement type="secondRowStripe" dxfId="354"/>
    </tableStyle>
    <tableStyle name="Updated SMEB -style 4" pivot="0" count="3" xr9:uid="{00000000-0011-0000-FFFF-FFFF09000000}">
      <tableStyleElement type="headerRow" dxfId="353"/>
      <tableStyleElement type="firstRowStripe" dxfId="352"/>
      <tableStyleElement type="secondRowStripe" dxfId="351"/>
    </tableStyle>
    <tableStyle name="Updated SMEB -style 5" pivot="0" count="3" xr9:uid="{00000000-0011-0000-FFFF-FFFF0A000000}">
      <tableStyleElement type="headerRow" dxfId="350"/>
      <tableStyleElement type="firstRowStripe" dxfId="349"/>
      <tableStyleElement type="secondRowStripe" dxfId="3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3E00177-0A8F-9B45-8AAB-E6C2B882F8B7}" name="Table72" displayName="Table72" ref="A1:H2" totalsRowShown="0" headerRowDxfId="347" dataDxfId="345" headerRowBorderDxfId="346" tableBorderDxfId="344" totalsRowBorderDxfId="343">
  <autoFilter ref="A1:H2" xr:uid="{D3E00177-0A8F-9B45-8AAB-E6C2B882F8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37BC4315-4068-FE46-956A-CA3F840B86F0}" name="State" dataDxfId="0"/>
    <tableColumn id="2" xr3:uid="{536500A0-2B2F-0F44-8EBB-CC964258790A}" name="Cost of Individual full food ration (May 2023)" dataDxfId="1">
      <calculatedColumnFormula>AVERAGE(Table67[Cost of Individual full food ration (May 2023) 65% of SMEB])</calculatedColumnFormula>
    </tableColumn>
    <tableColumn id="3" xr3:uid="{A06863D3-7467-D04F-A4E1-2154FDED0070}" name="Shelter (recurring not shelter building materials) _x000a_10% of SMEB" dataDxfId="342">
      <calculatedColumnFormula>F2*0.1</calculatedColumnFormula>
    </tableColumn>
    <tableColumn id="4" xr3:uid="{3C84B9BA-DE0F-F042-9EAD-BD10B4543453}" name="Non-Food Items including WASH (health not included)_x000a_21% of SEMB" dataDxfId="341">
      <calculatedColumnFormula>F2*0.21</calculatedColumnFormula>
    </tableColumn>
    <tableColumn id="5" xr3:uid="{12C0A121-DD4C-EF4D-8C69-F022DEC75084}" name="Other_x000a_4% of SMEB" dataDxfId="340">
      <calculatedColumnFormula>F2*0.04</calculatedColumnFormula>
    </tableColumn>
    <tableColumn id="6" xr3:uid="{ADD3F040-DAD1-374B-A406-278127596AB5}" name="Total Cost of SMEB per individual" dataDxfId="339">
      <calculatedColumnFormula>B2/0.65</calculatedColumnFormula>
    </tableColumn>
    <tableColumn id="7" xr3:uid="{2646CED8-392C-7347-A38C-00D0E24E3601}" name="Cost of SMEB for a household of 5" dataDxfId="338">
      <calculatedColumnFormula>F2*5</calculatedColumnFormula>
    </tableColumn>
    <tableColumn id="8" xr3:uid="{FBF3A0E0-5ED7-3F46-926B-F131580D1F57}" name="Cost of SMEB for a household of 5. Rounded to nearest 5,000" dataDxfId="337">
      <calculatedColumnFormula>MROUND(Table72[[#This Row],[Cost of SMEB for a household of 5]],5000)</calculatedColumnFormula>
    </tableColumn>
  </tableColumns>
  <tableStyleInfo name="Food-style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662065A-89BF-EB4D-BAC5-92FCE33ADF2F}" name="Table_621242751" displayName="Table_621242751" ref="A5:D9" headerRowDxfId="131" dataDxfId="130" totalsRowDxfId="129">
  <tableColumns count="4">
    <tableColumn id="1" xr3:uid="{FBD5E26A-3C21-8944-A441-E80331F01550}" name="Commodity/Item" dataDxfId="128"/>
    <tableColumn id="2" xr3:uid="{05F9BF5F-EC67-024D-8AD5-BBE215335AE1}" name="Specification " dataDxfId="127"/>
    <tableColumn id="3" xr3:uid="{26F96CD0-52B0-9448-A249-68FC6682450C}" name="Unit of Measure" dataDxfId="126"/>
    <tableColumn id="4" xr3:uid="{8225FA4C-7B62-214E-A5A5-1A40AA5F6E56}" name="Avg Price May 2023 (MMK)" dataDxfId="125"/>
  </tableColumns>
  <tableStyleInfo name="Food-style 6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9A504D5-05F9-6840-96A3-0E6D1DA2138C}" name="Table_11922252852" displayName="Table_11922252852" ref="F5:H10" headerRowDxfId="124" dataDxfId="122" totalsRowDxfId="120" headerRowBorderDxfId="123" tableBorderDxfId="121">
  <tableColumns count="3">
    <tableColumn id="1" xr3:uid="{516DE29C-6976-2E4B-9E7F-713BCDC3641C}" name="Commodity " dataDxfId="119"/>
    <tableColumn id="2" xr3:uid="{CEDB4EC8-53F7-9A49-98A1-719F1C38A34D}" name="WFP Ration Size (per individual)" dataDxfId="118"/>
    <tableColumn id="3" xr3:uid="{96885C21-ACEE-6F4A-B5F2-3AABDD5F1A04}" name="Ration cost based on average price" dataDxfId="117"/>
  </tableColumns>
  <tableStyleInfo name="Food-style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7E7D46D-37B1-BB47-A9FD-7C677EEFEEE7}" name="Table_320232653" displayName="Table_320232653" ref="J5:L6" headerRowDxfId="116" dataDxfId="114" totalsRowDxfId="112" headerRowBorderDxfId="115" tableBorderDxfId="113">
  <tableColumns count="3">
    <tableColumn id="1" xr3:uid="{92F2A74A-EFB2-0747-9B4C-D5AEC0B38502}" name="Food Cost per person" dataDxfId="111">
      <calculatedColumnFormula>H10</calculatedColumnFormula>
    </tableColumn>
    <tableColumn id="2" xr3:uid="{96EDAA05-1855-CB4F-AAE1-90AB0FD8450B}" name="HH Size " dataDxfId="110"/>
    <tableColumn id="3" xr3:uid="{89B85321-0965-0E4D-94D1-FBB1E3842775}" name="Total MMK per HH size 5" dataDxfId="109">
      <calculatedColumnFormula>J6*K6</calculatedColumnFormula>
    </tableColumn>
  </tableColumns>
  <tableStyleInfo name="Food-style 3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5841A6C-01EA-7146-A6D9-B0155370BF89}" name="Table_621242754" displayName="Table_621242754" ref="A5:D9" headerRowDxfId="108" dataDxfId="107" totalsRowDxfId="106">
  <tableColumns count="4">
    <tableColumn id="1" xr3:uid="{8A7983E9-5B35-7E4B-9516-71ED6EE070EA}" name="Commodity/Item" dataDxfId="105"/>
    <tableColumn id="2" xr3:uid="{63DE64ED-F587-724B-AAFD-256B4B2FBA02}" name="Specification " dataDxfId="104"/>
    <tableColumn id="3" xr3:uid="{C7E30F25-B58E-D547-8D9B-EC8B58A660D8}" name="Unit of Measure" dataDxfId="103"/>
    <tableColumn id="4" xr3:uid="{17144718-80ED-F841-9AFB-BF7CC486BB8D}" name="Avg Price May 2023 (MMK)" dataDxfId="102"/>
  </tableColumns>
  <tableStyleInfo name="Food-style 6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2B4EF7A-D004-A544-BD08-9C27FCE28503}" name="Table_11922252855" displayName="Table_11922252855" ref="F5:H10" headerRowDxfId="101" dataDxfId="99" totalsRowDxfId="97" headerRowBorderDxfId="100" tableBorderDxfId="98">
  <tableColumns count="3">
    <tableColumn id="1" xr3:uid="{CF697830-D32B-CC49-8FFE-610B41E04C49}" name="Commodity " dataDxfId="96"/>
    <tableColumn id="2" xr3:uid="{016B01EE-847C-614E-B407-407D66CB4296}" name="WFP Ration Size (per individual)" dataDxfId="95"/>
    <tableColumn id="3" xr3:uid="{F791AE90-2343-5746-AB33-0ABA01A76057}" name="Ration cost based on average price" dataDxfId="94"/>
  </tableColumns>
  <tableStyleInfo name="Food-style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B4E90C9-D4E5-AE46-A5A3-E2DC2E7B28A6}" name="Table_3202326" displayName="Table_3202326" ref="J4:L5" headerRowDxfId="254" dataDxfId="252" totalsRowDxfId="250" headerRowBorderDxfId="253" tableBorderDxfId="251">
  <tableColumns count="3">
    <tableColumn id="1" xr3:uid="{4F779DCF-5690-AF43-BBE3-D4612F57B7BC}" name="Food Cost per person" dataDxfId="249">
      <calculatedColumnFormula>H9</calculatedColumnFormula>
    </tableColumn>
    <tableColumn id="2" xr3:uid="{D8700357-163E-0941-8164-5256BAD1D84E}" name="HH Size " dataDxfId="248"/>
    <tableColumn id="3" xr3:uid="{A2DE4071-7B73-5645-A932-637140E6F1DE}" name="Total MMK per HH size 5" dataDxfId="247">
      <calculatedColumnFormula>J5*K5</calculatedColumnFormula>
    </tableColumn>
  </tableColumns>
  <tableStyleInfo name="Food-style 3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596F589-9922-F648-AAFC-02B79DBA8A62}" name="Table_6212427" displayName="Table_6212427" ref="A4:D8" headerRowDxfId="246" dataDxfId="245" totalsRowDxfId="244">
  <tableColumns count="4">
    <tableColumn id="1" xr3:uid="{E0E4DF77-345B-C145-83BF-710962012C33}" name="Commodity/Item" dataDxfId="243"/>
    <tableColumn id="2" xr3:uid="{A4577183-2667-3C45-9A7B-D2EAF6F7B4E9}" name="Specification " dataDxfId="242"/>
    <tableColumn id="3" xr3:uid="{4731F6C7-BBC8-6242-9EBF-2A0325EA4F9F}" name="Unit of Measure" dataDxfId="241"/>
    <tableColumn id="4" xr3:uid="{453D2EEA-122F-684E-B091-898E238EA417}" name="Avg Price May 2023 (MMK)" dataDxfId="240"/>
  </tableColumns>
  <tableStyleInfo name="Food-style 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A8B7505-4373-F340-B5A1-AFE5DCBFE93E}" name="Table_119222528" displayName="Table_119222528" ref="F4:H9" headerRowDxfId="239" dataDxfId="237" totalsRowDxfId="235" headerRowBorderDxfId="238" tableBorderDxfId="236">
  <tableColumns count="3">
    <tableColumn id="1" xr3:uid="{3ADA924E-DCE9-454D-91BC-3A23931AC705}" name="Commodity " dataDxfId="234"/>
    <tableColumn id="2" xr3:uid="{94B9F1AC-767E-0343-B65C-14BBB0B3C27F}" name="WFP Ration Size (per individual)" dataDxfId="233"/>
    <tableColumn id="3" xr3:uid="{7EDB5BAB-A2DE-4F45-848D-4D7EF40F722F}" name="Ration cost based on average price" dataDxfId="232"/>
  </tableColumns>
  <tableStyleInfo name="Food-style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2E14A9E-DB6F-954A-8ECE-15954052AF07}" name="Table_320232629" displayName="Table_320232629" ref="J4:L5" headerRowDxfId="231" dataDxfId="229" totalsRowDxfId="227" headerRowBorderDxfId="230" tableBorderDxfId="228">
  <tableColumns count="3">
    <tableColumn id="1" xr3:uid="{E6FA321A-8901-B942-9238-7E1D8BD6F65C}" name="Food Cost per person" dataDxfId="226">
      <calculatedColumnFormula>H9</calculatedColumnFormula>
    </tableColumn>
    <tableColumn id="2" xr3:uid="{4DC52997-1C49-E443-9DF7-366B03B4F85C}" name="HH Size " dataDxfId="225"/>
    <tableColumn id="3" xr3:uid="{411C24D9-2242-0349-91B4-F4D13E03619C}" name="Total MMK per HH size 5" dataDxfId="224">
      <calculatedColumnFormula>J5*K5</calculatedColumnFormula>
    </tableColumn>
  </tableColumns>
  <tableStyleInfo name="Food-style 3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2A45CAA-DB2B-724A-8FB0-9E2363E1E530}" name="Table_621242730" displayName="Table_621242730" ref="A4:D8" headerRowDxfId="223" dataDxfId="222" totalsRowDxfId="221">
  <tableColumns count="4">
    <tableColumn id="1" xr3:uid="{0E02BC19-FE7E-CF41-95FF-696D72A40914}" name="Commodity/Item" dataDxfId="220"/>
    <tableColumn id="2" xr3:uid="{2ED266A3-AE48-4C42-9A39-F0A88B00A173}" name="Specification " dataDxfId="219"/>
    <tableColumn id="3" xr3:uid="{A1BEDA6D-C665-C446-AAEC-28B9F2BD0138}" name="Unit of Measure" dataDxfId="218"/>
    <tableColumn id="4" xr3:uid="{D0BBFC00-6B2C-F248-A9A6-89488807872A}" name="Avg Price May 2023  (MMK)" dataDxfId="217"/>
  </tableColumns>
  <tableStyleInfo name="Food-style 6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EC730D0-80E5-D041-B57E-F5B665B12377}" name="Table67" displayName="Table67" ref="A4:H18" totalsRowShown="0" headerRowDxfId="336" dataDxfId="334" headerRowBorderDxfId="335" tableBorderDxfId="333" totalsRowBorderDxfId="332">
  <autoFilter ref="A4:H18" xr:uid="{0EC730D0-80E5-D041-B57E-F5B665B12377}"/>
  <sortState xmlns:xlrd2="http://schemas.microsoft.com/office/spreadsheetml/2017/richdata2" ref="A5:H18">
    <sortCondition ref="A4:A18"/>
  </sortState>
  <tableColumns count="8">
    <tableColumn id="1" xr3:uid="{6FB4C87F-99EE-2146-91F2-6551EA848DB4}" name="State" dataDxfId="331"/>
    <tableColumn id="2" xr3:uid="{5CAD21A6-2325-464B-A2B7-D8A262DC8CFB}" name="Cost of Individual full food ration (May 2023) 65% of SMEB" dataDxfId="330"/>
    <tableColumn id="3" xr3:uid="{2F88009C-041C-304A-BA1F-24D4BDB72171}" name="Shelter (recurring not shelter buidling materials) _x000a_10% of SMEB" dataDxfId="329">
      <calculatedColumnFormula>Table67[[#This Row],[Total Cost of SMEB per individual]]*0.1</calculatedColumnFormula>
    </tableColumn>
    <tableColumn id="4" xr3:uid="{FD74BCAF-D132-8340-A62D-63591805FC01}" name="Non-Food Items including WASH (health not included)_x000a_21% of SEMB" dataDxfId="328">
      <calculatedColumnFormula>Table67[[#This Row],[Total Cost of SMEB per individual]]*0.21</calculatedColumnFormula>
    </tableColumn>
    <tableColumn id="5" xr3:uid="{BD18E0C4-2654-7544-B563-7150649273A4}" name="Other_x000a_4% of SMEB" dataDxfId="327">
      <calculatedColumnFormula>Table67[[#This Row],[Total Cost of SMEB per individual]]*0.04</calculatedColumnFormula>
    </tableColumn>
    <tableColumn id="6" xr3:uid="{FD1BF6C9-7B43-EC4C-959F-8D6D39723DFD}" name="Total Cost of SMEB per individual" dataDxfId="326">
      <calculatedColumnFormula xml:space="preserve"> Table67[[#This Row],[Cost of Individual full food ration (May 2023) 65% of SMEB]]/0.65</calculatedColumnFormula>
    </tableColumn>
    <tableColumn id="7" xr3:uid="{24EBE69F-90DC-7D4A-8B85-81EF6771FD88}" name="Cost of SMEB for a household of 5" dataDxfId="325">
      <calculatedColumnFormula>F5*5</calculatedColumnFormula>
    </tableColumn>
    <tableColumn id="8" xr3:uid="{81186F72-DA1A-4C49-BE67-9F421E3CAC8D}" name="Cost of SMEB for a household of 5 Rounded to nearest 5,000 MMK" dataDxfId="324">
      <calculatedColumnFormula>MROUND(Table67[[#This Row],[Cost of SMEB for a household of 5]],5000)</calculatedColumnFormula>
    </tableColumn>
  </tableColumns>
  <tableStyleInfo name="Food-style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5CAEDA2-B9AC-4A4E-8304-4E4C336A1746}" name="Table_11922252831" displayName="Table_11922252831" ref="F4:H9" headerRowDxfId="216" dataDxfId="214" totalsRowDxfId="212" headerRowBorderDxfId="215" tableBorderDxfId="213">
  <tableColumns count="3">
    <tableColumn id="1" xr3:uid="{F33355B4-A9CE-1744-A316-1AC6BD0B5F75}" name="Commodity " dataDxfId="211"/>
    <tableColumn id="2" xr3:uid="{93F4EAEB-0C97-A94C-A5E2-83AC4FACB2A6}" name="WFP Ration Size (per individual)" dataDxfId="210"/>
    <tableColumn id="3" xr3:uid="{82F697D5-341D-8B46-99DA-E598B26511E2}" name="Ration cost based on average price" dataDxfId="209"/>
  </tableColumns>
  <tableStyleInfo name="Food-style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A301C1A2-1FE3-1F4B-88BB-53FB105CAC15}" name="Table_3202326536265" displayName="Table_3202326536265" ref="J5:L6" headerRowDxfId="70" dataDxfId="68" totalsRowDxfId="66" headerRowBorderDxfId="69" tableBorderDxfId="67">
  <tableColumns count="3">
    <tableColumn id="1" xr3:uid="{4FABE601-CAE2-8743-816E-AD894211B2A7}" name="Food Cost per person" dataDxfId="65">
      <calculatedColumnFormula>H10</calculatedColumnFormula>
    </tableColumn>
    <tableColumn id="2" xr3:uid="{FC7A450D-90B5-B84C-8D9B-07ACA870BBB2}" name="HH Size " dataDxfId="64"/>
    <tableColumn id="3" xr3:uid="{999EFD32-D2BD-A947-9DAC-AC523EAD2459}" name="Total MMK per HH size 5" dataDxfId="63">
      <calculatedColumnFormula>J6*K6</calculatedColumnFormula>
    </tableColumn>
  </tableColumns>
  <tableStyleInfo name="Food-style 3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E3FFAC4B-8310-914C-83CC-C22D34130971}" name="Table_6212427546366" displayName="Table_6212427546366" ref="A5:D9" headerRowDxfId="62" dataDxfId="61" totalsRowDxfId="60">
  <tableColumns count="4">
    <tableColumn id="1" xr3:uid="{E60E0152-D116-D947-A7CC-C4DF56F1D60E}" name="Commodity/Item" dataDxfId="59"/>
    <tableColumn id="2" xr3:uid="{39F74726-6844-6649-9BE6-6D4DBAC30E63}" name="Specification " dataDxfId="58"/>
    <tableColumn id="3" xr3:uid="{CB871C49-4A02-524A-9273-369B18BBB97B}" name="Unit of Measure" dataDxfId="57"/>
    <tableColumn id="4" xr3:uid="{D2F59E49-399B-3E4F-86DE-2EF12DA75F55}" name="Avg Price May 2023 (MMK)" dataDxfId="56"/>
  </tableColumns>
  <tableStyleInfo name="Food-style 6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81736EC3-7A7B-4443-88DE-1709D0D42F2B}" name="Table_119222528556467" displayName="Table_119222528556467" ref="F5:H10" headerRowDxfId="55" dataDxfId="53" totalsRowDxfId="51" headerRowBorderDxfId="54" tableBorderDxfId="52">
  <tableColumns count="3">
    <tableColumn id="1" xr3:uid="{CD57674F-C575-FD40-B853-BF47126DCA5D}" name="Commodity " dataDxfId="50"/>
    <tableColumn id="2" xr3:uid="{9CFD2883-C703-0A43-82EF-42852ED334D3}" name="WFP Ration Size (per individual)" dataDxfId="49"/>
    <tableColumn id="3" xr3:uid="{F5B3A333-3F93-B74E-B94F-0E2103380305}" name="Ration cost based on average price" dataDxfId="48"/>
  </tableColumns>
  <tableStyleInfo name="Food-style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83D5F15-35D2-2748-855B-5A5A31C8ACA8}" name="Table_320232632" displayName="Table_320232632" ref="J4:L5" headerRowDxfId="323" dataDxfId="321" totalsRowDxfId="319" headerRowBorderDxfId="322" tableBorderDxfId="320">
  <tableColumns count="3">
    <tableColumn id="1" xr3:uid="{81933DCE-F8A9-6646-AD80-40C2892F4838}" name="Food Cost per person" dataDxfId="318">
      <calculatedColumnFormula>H9</calculatedColumnFormula>
    </tableColumn>
    <tableColumn id="2" xr3:uid="{94DEE2CB-337C-C747-87F0-69D0E52A8261}" name="HH Size " dataDxfId="317"/>
    <tableColumn id="3" xr3:uid="{E89ED459-481A-2E42-B4A3-6271E910B64B}" name="Total MMK per HH size 5" dataDxfId="316">
      <calculatedColumnFormula>J5*K5</calculatedColumnFormula>
    </tableColumn>
  </tableColumns>
  <tableStyleInfo name="Food-style 3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36B7B43-236F-2B48-A574-F860F40A29B0}" name="Table_621242733" displayName="Table_621242733" ref="A4:D8" headerRowDxfId="315" dataDxfId="314" totalsRowDxfId="313">
  <tableColumns count="4">
    <tableColumn id="1" xr3:uid="{75B6C063-071D-5642-B1D6-6F26D41C79E2}" name="Commodity/Item" dataDxfId="312"/>
    <tableColumn id="2" xr3:uid="{0ED3901D-F562-7641-B45C-CA8878722CA1}" name="Specification " dataDxfId="311"/>
    <tableColumn id="3" xr3:uid="{4AAAF847-771C-BE47-9B76-46CE0BC60E4E}" name="Unit of Measure" dataDxfId="310"/>
    <tableColumn id="4" xr3:uid="{B1460278-8D7B-964F-9C18-C5118707EE18}" name="Average Price May 2023" dataDxfId="309"/>
  </tableColumns>
  <tableStyleInfo name="Food-style 6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A37BE55-88B8-B145-85F2-E8EE0535E02E}" name="Table_11922252834" displayName="Table_11922252834" ref="F4:H9" headerRowDxfId="308" dataDxfId="306" totalsRowDxfId="304" headerRowBorderDxfId="307" tableBorderDxfId="305">
  <tableColumns count="3">
    <tableColumn id="1" xr3:uid="{5D52C620-9345-3C4F-B24A-E3F0C7EC2867}" name="Commodity " dataDxfId="303"/>
    <tableColumn id="2" xr3:uid="{683C559D-B9A5-7847-BDA2-DE0F4B07A498}" name="WFP Ration Size (per individual)" dataDxfId="302"/>
    <tableColumn id="3" xr3:uid="{97532E65-9C0E-1648-B3DE-CCEDC0266A2B}" name="Ration cost based on average price" dataDxfId="301"/>
  </tableColumns>
  <tableStyleInfo name="Food-style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76261BF-B089-A54E-B391-6D906CF40F8E}" name="Table_32023263259" displayName="Table_32023263259" ref="J5:L6" headerRowDxfId="208" dataDxfId="206" totalsRowDxfId="204" headerRowBorderDxfId="207" tableBorderDxfId="205">
  <tableColumns count="3">
    <tableColumn id="1" xr3:uid="{D587B07A-B61A-E243-B025-ECBFA37390B8}" name="Food Cost per person" dataDxfId="203">
      <calculatedColumnFormula>H10</calculatedColumnFormula>
    </tableColumn>
    <tableColumn id="2" xr3:uid="{3A632345-2250-8A4B-BA37-BC2758081806}" name="HH Size " dataDxfId="202"/>
    <tableColumn id="3" xr3:uid="{DB1DC73D-6D5F-134C-AC92-0EFFFB618B1E}" name="Total MMK per HH size 5" dataDxfId="201">
      <calculatedColumnFormula>J6*K6</calculatedColumnFormula>
    </tableColumn>
  </tableColumns>
  <tableStyleInfo name="Food-style 3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3575380-4A3B-F74C-83CE-3F20A5CE2667}" name="Table_62124273360" displayName="Table_62124273360" ref="A5:D9" headerRowDxfId="200" dataDxfId="199" totalsRowDxfId="198">
  <tableColumns count="4">
    <tableColumn id="1" xr3:uid="{2725CDF5-E2AE-DB48-A19C-2DEE6C9D5938}" name="Commodity/Item" dataDxfId="197"/>
    <tableColumn id="2" xr3:uid="{4E8C596F-DA50-0145-94C2-BC297FCB82FE}" name="Specification " dataDxfId="196"/>
    <tableColumn id="3" xr3:uid="{387D96E4-F669-5140-A070-AE58DAE2744F}" name="Unit of Measure" dataDxfId="195"/>
    <tableColumn id="4" xr3:uid="{F5AE8D7F-47AE-9D4B-A846-A89C8103E660}" name="Avg Price Dec 22 (MMK)" dataDxfId="194"/>
  </tableColumns>
  <tableStyleInfo name="Food-style 6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343E07D-324D-4844-AAEB-15593A473FB5}" name="Table_1192225283461" displayName="Table_1192225283461" ref="F5:H10" headerRowDxfId="193" dataDxfId="191" totalsRowDxfId="189" headerRowBorderDxfId="192" tableBorderDxfId="190">
  <tableColumns count="3">
    <tableColumn id="1" xr3:uid="{5A96423C-29E9-5C49-8E5D-DDD948DF0EE5}" name="Commodity " dataDxfId="188"/>
    <tableColumn id="2" xr3:uid="{5B40F892-8B12-8A4B-A813-D8671AE34144}" name="WFP Ration Size (per individual)" dataDxfId="187"/>
    <tableColumn id="3" xr3:uid="{35364FB2-E28D-AF43-A12B-FB67EFE64FA8}" name="Ration cost based on average price" dataDxfId="186"/>
  </tableColumns>
  <tableStyleInfo name="Food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47195B2-EDFA-9A4F-836A-AB079BA2FC65}" name="Table_320" displayName="Table_320" ref="J5:L6" headerRowDxfId="300" dataDxfId="298" totalsRowDxfId="296" headerRowBorderDxfId="299" tableBorderDxfId="297">
  <tableColumns count="3">
    <tableColumn id="1" xr3:uid="{6AED5D9D-DB99-5549-AC3E-114087E7779C}" name="Food Cost per person" dataDxfId="295">
      <calculatedColumnFormula>H10</calculatedColumnFormula>
    </tableColumn>
    <tableColumn id="2" xr3:uid="{6E98C931-6D1D-3141-82D8-4C1ECE9CD735}" name="HH Size " dataDxfId="294"/>
    <tableColumn id="3" xr3:uid="{B43304AE-A142-B842-B811-4F676E86076B}" name="Total MMK per HH size 5" dataDxfId="293">
      <calculatedColumnFormula>J6*K6</calculatedColumnFormula>
    </tableColumn>
  </tableColumns>
  <tableStyleInfo name="Food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67F2753-DC84-9544-B8F1-A39716F7D793}" name="Table_32023265611" displayName="Table_32023265611" ref="J5:L6" headerRowDxfId="24" dataDxfId="23" totalsRowDxfId="22" headerRowBorderDxfId="20" tableBorderDxfId="21">
  <tableColumns count="3">
    <tableColumn id="1" xr3:uid="{8E7999B6-693D-784D-8B4C-9EE3555198BE}" name="Food Cost per person" dataDxfId="19">
      <calculatedColumnFormula>H10</calculatedColumnFormula>
    </tableColumn>
    <tableColumn id="2" xr3:uid="{DBC1291B-F9A7-3245-8FC1-9119C41D0A0D}" name="HH Size " dataDxfId="18"/>
    <tableColumn id="3" xr3:uid="{D62929EB-C645-8440-87C2-F0155128A845}" name="Total MMK per HH size 5" dataDxfId="17">
      <calculatedColumnFormula>J6*K6</calculatedColumnFormula>
    </tableColumn>
  </tableColumns>
  <tableStyleInfo name="Food-style 3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70C8B68-80C1-D348-B120-129E89B5B806}" name="Table_62124275712" displayName="Table_62124275712" ref="A5:D9" headerRowDxfId="16" dataDxfId="15" totalsRowDxfId="14">
  <tableColumns count="4">
    <tableColumn id="1" xr3:uid="{629B988C-6383-994D-B8E5-D9CBE47BC540}" name="Commodity/Item" dataDxfId="13"/>
    <tableColumn id="2" xr3:uid="{3B2AF101-3E49-6546-A9D3-C7E6341DC077}" name="Specification " dataDxfId="12"/>
    <tableColumn id="3" xr3:uid="{4495B889-3E31-1145-A2F1-80BB3DB3B2CE}" name="Unit of Measure" dataDxfId="11"/>
    <tableColumn id="4" xr3:uid="{58EF4DAF-CCC9-6641-831E-3002C32ACB7A}" name="Avg Price May 2023 (MMK)" dataDxfId="10"/>
  </tableColumns>
  <tableStyleInfo name="Food-style 6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83B5DDA-BB06-4246-9A8E-122852521AFE}" name="Table_1192225285813" displayName="Table_1192225285813" ref="F5:H10" headerRowDxfId="9" dataDxfId="8" totalsRowDxfId="7" headerRowBorderDxfId="5" tableBorderDxfId="6">
  <tableColumns count="3">
    <tableColumn id="1" xr3:uid="{97628E6C-203B-A64A-8ECC-244228BFD663}" name="Commodity " dataDxfId="4"/>
    <tableColumn id="2" xr3:uid="{D3D899C8-4435-094B-8F96-37AAC88EE7FF}" name="WFP Ration Size (per individual)" dataDxfId="3"/>
    <tableColumn id="3" xr3:uid="{EAE83499-2582-314E-A583-0423EC1A29A0}" name="Ration cost based on average price" dataDxfId="2"/>
  </tableColumns>
  <tableStyleInfo name="Food-style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805DA4B-80CD-7349-B913-F7BACEB8E013}" name="Table_320232644" displayName="Table_320232644" ref="J5:L6" headerRowDxfId="185" dataDxfId="183" totalsRowDxfId="181" headerRowBorderDxfId="184" tableBorderDxfId="182">
  <tableColumns count="3">
    <tableColumn id="1" xr3:uid="{B84C04C6-E361-9043-9E00-4F0AED679BF8}" name="Food Cost per person" dataDxfId="180">
      <calculatedColumnFormula>H10</calculatedColumnFormula>
    </tableColumn>
    <tableColumn id="2" xr3:uid="{6FAF2F77-8B8D-2A46-8033-3B206B8E7378}" name="HH Size " dataDxfId="179"/>
    <tableColumn id="3" xr3:uid="{4A18F9A5-6523-9D42-8412-5D33D4F11DF7}" name="Total MMK per HH size 5" dataDxfId="178">
      <calculatedColumnFormula>J6*K6</calculatedColumnFormula>
    </tableColumn>
  </tableColumns>
  <tableStyleInfo name="Food-style 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C4C3827-B6A6-2049-8C00-5EC49F8E1B0A}" name="Table_621242745" displayName="Table_621242745" ref="A5:D9" headerRowDxfId="177" dataDxfId="176" totalsRowDxfId="175">
  <tableColumns count="4">
    <tableColumn id="1" xr3:uid="{8A28D765-B3C0-1D44-B403-6A28602625C6}" name="Commodity/Item" dataDxfId="174"/>
    <tableColumn id="2" xr3:uid="{C0FE0BBC-1707-7B40-99B1-F38DE961D9F8}" name="Specification " dataDxfId="173"/>
    <tableColumn id="3" xr3:uid="{4C09BF60-F809-674D-9A04-8C41B67B7C21}" name="Unit of Measure" dataDxfId="172"/>
    <tableColumn id="4" xr3:uid="{72D42476-5CF4-C744-A617-775C449FAF16}" name="Avg Price May 2023 (MMK)" dataDxfId="171"/>
  </tableColumns>
  <tableStyleInfo name="Food-style 6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DAED7DA-A4DB-F14C-9324-7B287D9C5760}" name="Table_11922252846" displayName="Table_11922252846" ref="F5:H10" headerRowDxfId="170" dataDxfId="168" totalsRowDxfId="166" headerRowBorderDxfId="169" tableBorderDxfId="167">
  <tableColumns count="3">
    <tableColumn id="1" xr3:uid="{B32338D1-DE12-2040-91C2-11F84E4AE087}" name="Commodity " dataDxfId="165"/>
    <tableColumn id="2" xr3:uid="{80688730-65E1-9344-AA16-3D479D206B14}" name="WFP Ration Size (per individual)" dataDxfId="164"/>
    <tableColumn id="3" xr3:uid="{52A5B9EB-7994-BB48-B2CC-98E819E2978E}" name="Ration cost based on average price" dataDxfId="163"/>
  </tableColumns>
  <tableStyleInfo name="Food-style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2350D4-F610-7B40-8F6C-23924C59B969}" name="Table_3202326442" displayName="Table_3202326442" ref="J5:L6" headerRowDxfId="162" dataDxfId="160" totalsRowDxfId="158" headerRowBorderDxfId="161" tableBorderDxfId="159">
  <tableColumns count="3">
    <tableColumn id="1" xr3:uid="{C7704B22-70E1-D14C-8F75-70A420C885DA}" name="Food Cost per person" dataDxfId="157">
      <calculatedColumnFormula>H10</calculatedColumnFormula>
    </tableColumn>
    <tableColumn id="2" xr3:uid="{62347098-3F99-6542-AF20-92D6A353EFA0}" name="HH Size " dataDxfId="156"/>
    <tableColumn id="3" xr3:uid="{7E88E06C-F402-CD46-BC11-DCDEF3913C59}" name="Total MMK per HH size 5" dataDxfId="155">
      <calculatedColumnFormula>J6*K6</calculatedColumnFormula>
    </tableColumn>
  </tableColumns>
  <tableStyleInfo name="Food-style 3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9D1880-891B-3E47-9554-E68C3F9A95E3}" name="Table_6212427453" displayName="Table_6212427453" ref="A5:D9" headerRowDxfId="154" dataDxfId="153" totalsRowDxfId="152">
  <tableColumns count="4">
    <tableColumn id="1" xr3:uid="{489F7287-8A43-6441-BA03-48DF20633EE1}" name="Commodity/Item" dataDxfId="151"/>
    <tableColumn id="2" xr3:uid="{C6DED3C5-C114-7D43-B833-14D3656F0B8B}" name="Specification " dataDxfId="150"/>
    <tableColumn id="3" xr3:uid="{13C09B12-4646-544A-91B8-C006390DFDD0}" name="Unit of Measure" dataDxfId="149"/>
    <tableColumn id="4" xr3:uid="{10D2EEA7-30F1-D543-AE8D-3FB68BB8C61C}" name="Avg Price May 2023 (MMK)" dataDxfId="148"/>
  </tableColumns>
  <tableStyleInfo name="Food-style 6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48B769-EBBF-DB40-A1E3-931F676B2EE7}" name="Table_119222528464" displayName="Table_119222528464" ref="F5:H10" headerRowDxfId="147" dataDxfId="145" totalsRowDxfId="143" headerRowBorderDxfId="146" tableBorderDxfId="144">
  <tableColumns count="3">
    <tableColumn id="1" xr3:uid="{822FAEB7-BABA-1241-AE95-4CAFCB073540}" name="Commodity " dataDxfId="142"/>
    <tableColumn id="2" xr3:uid="{239D2CC1-CBBD-EE43-9395-856FA17B91FE}" name="WFP Ration Size (per individual)" dataDxfId="141"/>
    <tableColumn id="3" xr3:uid="{8FB6AF8A-4012-2746-B5AC-382772758E5A}" name="Ration cost based on average price" dataDxfId="140"/>
  </tableColumns>
  <tableStyleInfo name="Food-style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3E5F423-735A-A345-B7CE-53F8C2AA5CC4}" name="Table_32023265362" displayName="Table_32023265362" ref="J4:L5" headerRowDxfId="93" dataDxfId="91" totalsRowDxfId="89" headerRowBorderDxfId="92" tableBorderDxfId="90">
  <tableColumns count="3">
    <tableColumn id="1" xr3:uid="{A54C71C2-0689-B64A-9323-59D64939DD3D}" name="Food Cost per person" dataDxfId="88">
      <calculatedColumnFormula>H9</calculatedColumnFormula>
    </tableColumn>
    <tableColumn id="2" xr3:uid="{0ABCF1DA-6971-164E-A3E3-C41651B329E8}" name="HH Size " dataDxfId="87"/>
    <tableColumn id="3" xr3:uid="{BEB4233F-C673-494B-92AF-CC47B742152E}" name="Total MMK per HH size 5" dataDxfId="86">
      <calculatedColumnFormula>J5*K5</calculatedColumnFormula>
    </tableColumn>
  </tableColumns>
  <tableStyleInfo name="Food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85495AC-016C-6A47-8A60-1D6646439C38}" name="Table_621" displayName="Table_621" ref="A5:D9" headerRowDxfId="292" dataDxfId="291" totalsRowDxfId="290">
  <tableColumns count="4">
    <tableColumn id="1" xr3:uid="{CC9735AC-1E3B-F440-AC09-47BFAD0FA642}" name="Commodity/Item" dataDxfId="289"/>
    <tableColumn id="2" xr3:uid="{69BDEE46-1400-6740-8AFA-9FDC8817F06F}" name="Specification " dataDxfId="288"/>
    <tableColumn id="3" xr3:uid="{909CEFD6-4E46-5149-899E-5F732363F397}" name="Unit of Measure" dataDxfId="287"/>
    <tableColumn id="4" xr3:uid="{B04B1F61-23C1-2F43-89FE-C2A0DBF5D271}" name="Average Price May 2023" dataDxfId="286"/>
  </tableColumns>
  <tableStyleInfo name="Food-style 6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F31F24D-CA9F-B84E-B327-2651C1599594}" name="Table_62124275463" displayName="Table_62124275463" ref="A4:D8" headerRowDxfId="85" dataDxfId="84" totalsRowDxfId="83">
  <tableColumns count="4">
    <tableColumn id="1" xr3:uid="{EF5A1719-AE6D-E34C-A330-141D1AF99403}" name="Commodity/Item" dataDxfId="82"/>
    <tableColumn id="2" xr3:uid="{5198636B-B410-334D-A1F9-B7C26E3C5E4B}" name="Specification " dataDxfId="81"/>
    <tableColumn id="3" xr3:uid="{30A9A1B1-225C-E14B-903E-6607167B818C}" name="Unit of Measure" dataDxfId="80"/>
    <tableColumn id="4" xr3:uid="{8016E1BE-8017-3A41-8F52-BBCC587BBC64}" name="Avg Price May 2023 (MMK)" dataDxfId="79"/>
  </tableColumns>
  <tableStyleInfo name="Food-style 6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5A90322-CB43-4243-A8A8-724F5FFB8B7C}" name="Table_1192225285564" displayName="Table_1192225285564" ref="F4:H9" headerRowDxfId="78" dataDxfId="76" totalsRowDxfId="74" headerRowBorderDxfId="77" tableBorderDxfId="75">
  <tableColumns count="3">
    <tableColumn id="1" xr3:uid="{04B5C266-ED31-904D-A2C7-9F90CA4D329D}" name="Commodity " dataDxfId="73"/>
    <tableColumn id="2" xr3:uid="{8D000987-44A8-A245-91D7-E3357D51B856}" name="WFP Ration Size (per individual)" dataDxfId="72"/>
    <tableColumn id="3" xr3:uid="{FA44314B-0C0C-7D46-A3C8-D162AD6400C0}" name="Ration cost based on average price" dataDxfId="71"/>
  </tableColumns>
  <tableStyleInfo name="Food-style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CFEA742-2F53-764D-B899-0F231464F5B9}" name="Table_320232656" displayName="Table_320232656" ref="J5:L6" headerRowDxfId="47" dataDxfId="45" totalsRowDxfId="43" headerRowBorderDxfId="46" tableBorderDxfId="44">
  <tableColumns count="3">
    <tableColumn id="1" xr3:uid="{68AFD83B-2A47-FE42-B4FC-4A20663A9384}" name="Food Cost per person" dataDxfId="42">
      <calculatedColumnFormula>H10</calculatedColumnFormula>
    </tableColumn>
    <tableColumn id="2" xr3:uid="{6A2384D5-C93F-394B-B327-1F11CD789D25}" name="HH Size " dataDxfId="41"/>
    <tableColumn id="3" xr3:uid="{DADFC8BF-823E-C547-AFED-DC830DB9CA3A}" name="Total MMK per HH size 5" dataDxfId="40">
      <calculatedColumnFormula>J6*K6</calculatedColumnFormula>
    </tableColumn>
  </tableColumns>
  <tableStyleInfo name="Food-style 3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94A31E4-13C6-6B42-A1B3-6B9E331AF662}" name="Table_621242757" displayName="Table_621242757" ref="A5:D9" headerRowDxfId="39" dataDxfId="38" totalsRowDxfId="37">
  <tableColumns count="4">
    <tableColumn id="1" xr3:uid="{6908C1AB-9C64-B34F-A467-95281EF29A0F}" name="Commodity/Item" dataDxfId="36"/>
    <tableColumn id="2" xr3:uid="{0129C937-E596-FC48-AAE7-5FFED2D75850}" name="Specification " dataDxfId="35"/>
    <tableColumn id="3" xr3:uid="{B8D6C82E-9248-E64A-B6C3-E916A6BF313A}" name="Unit of Measure" dataDxfId="34"/>
    <tableColumn id="4" xr3:uid="{A1EBAE1D-A397-5F4F-8C51-4CADEDC10DF3}" name="Avg Price May 2023 (MMK)" dataDxfId="33"/>
  </tableColumns>
  <tableStyleInfo name="Food-style 6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00195A8-3F94-3F41-8F1B-055A95122EA4}" name="Table_11922252858" displayName="Table_11922252858" ref="F5:H10" headerRowDxfId="32" dataDxfId="30" totalsRowDxfId="28" headerRowBorderDxfId="31" tableBorderDxfId="29">
  <tableColumns count="3">
    <tableColumn id="1" xr3:uid="{D6C0061C-7EA8-1F4C-9403-93ABF0D2FC50}" name="Commodity " dataDxfId="27"/>
    <tableColumn id="2" xr3:uid="{B12C8855-72BA-2646-99B9-92ED4B479DC7}" name="WFP Ration Size (per individual)" dataDxfId="26"/>
    <tableColumn id="3" xr3:uid="{BC58745A-204E-5A43-BE8D-D6FD7271B2C6}" name="Ration cost based on average price" dataDxfId="25"/>
  </tableColumns>
  <tableStyleInfo name="Food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1D33826-4A67-6747-9471-637BDAF4D485}" name="Table_11922" displayName="Table_11922" ref="F5:H10" headerRowDxfId="285" dataDxfId="283" totalsRowDxfId="281" headerRowBorderDxfId="284" tableBorderDxfId="282">
  <tableColumns count="3">
    <tableColumn id="1" xr3:uid="{CE9D29E6-DAD1-274A-A153-94FBFC570F39}" name="Commodity " dataDxfId="280"/>
    <tableColumn id="2" xr3:uid="{F6C1E92B-4E56-F846-8A19-A9074CAAEE75}" name="WFP Ration Size (per individual)" dataDxfId="279"/>
    <tableColumn id="3" xr3:uid="{4ADBE959-0324-7047-A333-8C5738C95A74}" name="Ration cost based on average price" dataDxfId="278"/>
  </tableColumns>
  <tableStyleInfo name="Food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6DD2A8D-6146-6542-94AD-606A2A360D29}" name="Table_32023" displayName="Table_32023" ref="J3:L4" headerRowDxfId="277" dataDxfId="275" totalsRowDxfId="273" headerRowBorderDxfId="276" tableBorderDxfId="274">
  <tableColumns count="3">
    <tableColumn id="1" xr3:uid="{470155A5-CB44-3446-BCD4-6AF3B018B15F}" name="Food Cost per person" dataDxfId="272">
      <calculatedColumnFormula>H8</calculatedColumnFormula>
    </tableColumn>
    <tableColumn id="2" xr3:uid="{A57D10FC-87F7-954F-BA59-2BD708C24AD2}" name="HH Size " dataDxfId="271"/>
    <tableColumn id="3" xr3:uid="{9F9352E6-6151-B04A-A5AE-BED736E34CEE}" name="Total MMK per HH size 5" dataDxfId="270">
      <calculatedColumnFormula>J4*K4</calculatedColumnFormula>
    </tableColumn>
  </tableColumns>
  <tableStyleInfo name="Food-style 3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81BC775-F0A1-B64C-B727-92491EF50474}" name="Table_62124" displayName="Table_62124" ref="A3:D7" headerRowDxfId="269" dataDxfId="268" totalsRowDxfId="267">
  <tableColumns count="4">
    <tableColumn id="1" xr3:uid="{9A792B7D-A8E5-FE4D-B387-5AF018702F41}" name="Commodity/Item" dataDxfId="266"/>
    <tableColumn id="2" xr3:uid="{8BA2DDD1-2902-D947-BB96-E77056A105C5}" name="Specification " dataDxfId="265"/>
    <tableColumn id="3" xr3:uid="{35CA0617-0755-FC4E-BF25-2DC9728AF5F9}" name="Unit of Measure" dataDxfId="264"/>
    <tableColumn id="4" xr3:uid="{FD5EDCA8-3682-9243-BE7B-50024F821003}" name="Avg Price May 2023 (MMK)" dataDxfId="263"/>
  </tableColumns>
  <tableStyleInfo name="Food-style 6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2D45C4E-877E-C942-A3E5-8F6D1511AFC0}" name="Table_1192225" displayName="Table_1192225" ref="F3:H8" headerRowDxfId="262" dataDxfId="260" totalsRowDxfId="258" headerRowBorderDxfId="261" tableBorderDxfId="259">
  <tableColumns count="3">
    <tableColumn id="1" xr3:uid="{236A8419-89D6-AB49-A7D7-F67ADFBCBF9E}" name="Commodity " dataDxfId="257"/>
    <tableColumn id="2" xr3:uid="{CCB3D45C-4402-FC42-A2D5-F1A475BA3F6F}" name="WFP Ration Size (per individual)" dataDxfId="256"/>
    <tableColumn id="3" xr3:uid="{549235A9-EA01-4343-84CB-A8B8FCAA2289}" name="Ration cost based on average price" dataDxfId="255"/>
  </tableColumns>
  <tableStyleInfo name="Food-style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84E7AB1-34E9-E547-93B7-5CDB54BBD08C}" name="Table_320232650" displayName="Table_320232650" ref="J5:L6" headerRowDxfId="139" dataDxfId="137" totalsRowDxfId="135" headerRowBorderDxfId="138" tableBorderDxfId="136">
  <tableColumns count="3">
    <tableColumn id="1" xr3:uid="{DC393516-B0B4-594E-A8CB-A1FFD2BF129A}" name="Food Cost per person" dataDxfId="134">
      <calculatedColumnFormula>H10</calculatedColumnFormula>
    </tableColumn>
    <tableColumn id="2" xr3:uid="{EA99CDD5-5715-DF45-80D5-2248405C4B52}" name="HH Size " dataDxfId="133"/>
    <tableColumn id="3" xr3:uid="{7E0316B4-2DB7-C64E-9253-6FD59BC74CCE}" name="Total MMK per HH size 5" dataDxfId="132">
      <calculatedColumnFormula>J6*K6</calculatedColumnFormula>
    </tableColumn>
  </tableColumns>
  <tableStyleInfo name="Food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table" Target="../tables/table2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table" Target="../tables/table3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table" Target="../tables/table3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table" Target="../tables/table3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table" Target="../tables/table3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table" Target="../tables/table4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table" Target="../tables/table1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37"/>
  <sheetViews>
    <sheetView workbookViewId="0">
      <selection activeCell="D10" sqref="D10"/>
    </sheetView>
  </sheetViews>
  <sheetFormatPr baseColWidth="10" defaultColWidth="12.6640625" defaultRowHeight="15.75" customHeight="1" x14ac:dyDescent="0.15"/>
  <cols>
    <col min="1" max="1" width="10.83203125" customWidth="1"/>
    <col min="2" max="2" width="19.1640625" customWidth="1"/>
    <col min="3" max="3" width="21.6640625" customWidth="1"/>
    <col min="4" max="4" width="18.33203125" customWidth="1"/>
    <col min="5" max="5" width="18.6640625" customWidth="1"/>
    <col min="6" max="6" width="18.33203125" customWidth="1"/>
    <col min="7" max="7" width="18.83203125" customWidth="1"/>
    <col min="8" max="8" width="17" customWidth="1"/>
  </cols>
  <sheetData>
    <row r="1" spans="1:8" ht="114" customHeight="1" x14ac:dyDescent="0.15">
      <c r="A1" s="39" t="s">
        <v>18</v>
      </c>
      <c r="B1" s="40" t="s">
        <v>57</v>
      </c>
      <c r="C1" s="40" t="s">
        <v>51</v>
      </c>
      <c r="D1" s="40" t="s">
        <v>42</v>
      </c>
      <c r="E1" s="40" t="s">
        <v>19</v>
      </c>
      <c r="F1" s="40" t="s">
        <v>20</v>
      </c>
      <c r="G1" s="41" t="s">
        <v>21</v>
      </c>
      <c r="H1" s="40" t="s">
        <v>49</v>
      </c>
    </row>
    <row r="2" spans="1:8" ht="36" customHeight="1" x14ac:dyDescent="0.15">
      <c r="A2" s="49" t="s">
        <v>56</v>
      </c>
      <c r="B2" s="33">
        <f>AVERAGE(Table67[Cost of Individual full food ration (May 2023) 65% of SMEB])</f>
        <v>32705.903571428575</v>
      </c>
      <c r="C2" s="33">
        <f>F2*0.1</f>
        <v>5031.6774725274736</v>
      </c>
      <c r="D2" s="33">
        <f>F2*0.21</f>
        <v>10566.522692307693</v>
      </c>
      <c r="E2" s="33">
        <f>F2*0.04</f>
        <v>2012.6709890109892</v>
      </c>
      <c r="F2" s="33">
        <f>B2/0.65</f>
        <v>50316.774725274729</v>
      </c>
      <c r="G2" s="36">
        <f>F2*5</f>
        <v>251583.87362637365</v>
      </c>
      <c r="H2" s="46">
        <f>MROUND(Table72[[#This Row],[Cost of SMEB for a household of 5]],5000)</f>
        <v>250000</v>
      </c>
    </row>
    <row r="37" spans="2:3" ht="13" x14ac:dyDescent="0.15">
      <c r="B37" s="6"/>
      <c r="C37" s="7"/>
    </row>
  </sheetData>
  <phoneticPr fontId="10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2730-5AD1-2543-A2A4-033FAAEA0823}">
  <dimension ref="A2:L28"/>
  <sheetViews>
    <sheetView zoomScale="130" zoomScaleNormal="130" workbookViewId="0">
      <selection activeCell="D5" sqref="D5"/>
    </sheetView>
  </sheetViews>
  <sheetFormatPr baseColWidth="10" defaultColWidth="11.5" defaultRowHeight="13" x14ac:dyDescent="0.15"/>
  <cols>
    <col min="1" max="1" width="16.6640625" customWidth="1"/>
    <col min="2" max="2" width="14.1640625" customWidth="1"/>
    <col min="3" max="3" width="12" customWidth="1"/>
    <col min="4" max="4" width="17.33203125" customWidth="1"/>
  </cols>
  <sheetData>
    <row r="2" spans="1:12" ht="14" x14ac:dyDescent="0.15">
      <c r="A2" s="26" t="s">
        <v>47</v>
      </c>
    </row>
    <row r="3" spans="1:12" ht="14" x14ac:dyDescent="0.15">
      <c r="A3" s="12" t="s">
        <v>33</v>
      </c>
      <c r="B3" s="11"/>
      <c r="C3" s="11"/>
      <c r="D3" s="11"/>
      <c r="E3" s="11"/>
      <c r="F3" s="12" t="s">
        <v>34</v>
      </c>
      <c r="G3" s="11"/>
      <c r="H3" s="11"/>
      <c r="I3" s="11"/>
      <c r="J3" s="10" t="s">
        <v>0</v>
      </c>
      <c r="K3" s="11"/>
      <c r="L3" s="11"/>
    </row>
    <row r="4" spans="1:12" ht="60" x14ac:dyDescent="0.15">
      <c r="A4" s="13" t="s">
        <v>35</v>
      </c>
      <c r="B4" s="13" t="s">
        <v>1</v>
      </c>
      <c r="C4" s="13" t="s">
        <v>2</v>
      </c>
      <c r="D4" s="13" t="s">
        <v>53</v>
      </c>
      <c r="E4" s="14"/>
      <c r="F4" s="15" t="s">
        <v>3</v>
      </c>
      <c r="G4" s="16" t="s">
        <v>4</v>
      </c>
      <c r="H4" s="17" t="s">
        <v>5</v>
      </c>
      <c r="I4" s="14"/>
      <c r="J4" s="16" t="s">
        <v>6</v>
      </c>
      <c r="K4" s="18" t="s">
        <v>7</v>
      </c>
      <c r="L4" s="17" t="s">
        <v>36</v>
      </c>
    </row>
    <row r="5" spans="1:12" ht="14" x14ac:dyDescent="0.15">
      <c r="A5" s="19" t="s">
        <v>8</v>
      </c>
      <c r="B5" s="19" t="s">
        <v>9</v>
      </c>
      <c r="C5" s="19" t="s">
        <v>10</v>
      </c>
      <c r="D5" s="42">
        <v>1481</v>
      </c>
      <c r="E5" s="11"/>
      <c r="F5" s="20" t="s">
        <v>8</v>
      </c>
      <c r="G5" s="19">
        <v>13.5</v>
      </c>
      <c r="H5" s="37">
        <f>Table_11922252834[[#This Row],[WFP Ration Size (per individual)]]*Table_621242733[[#This Row],[Average Price May 2023]]</f>
        <v>19993.5</v>
      </c>
      <c r="I5" s="11"/>
      <c r="J5" s="25">
        <f>H9</f>
        <v>30509.399999999998</v>
      </c>
      <c r="K5" s="21">
        <v>5</v>
      </c>
      <c r="L5" s="22">
        <f>J5*K5</f>
        <v>152547</v>
      </c>
    </row>
    <row r="6" spans="1:12" ht="14" x14ac:dyDescent="0.15">
      <c r="A6" s="19" t="s">
        <v>11</v>
      </c>
      <c r="B6" s="19" t="s">
        <v>12</v>
      </c>
      <c r="C6" s="19" t="s">
        <v>10</v>
      </c>
      <c r="D6" s="42">
        <v>3266</v>
      </c>
      <c r="E6" s="11"/>
      <c r="F6" s="20" t="s">
        <v>11</v>
      </c>
      <c r="G6" s="19">
        <v>1.8</v>
      </c>
      <c r="H6" s="37">
        <f>Table_11922252834[[#This Row],[WFP Ration Size (per individual)]]*Table_621242733[[#This Row],[Average Price May 2023]]</f>
        <v>5878.8</v>
      </c>
      <c r="I6" s="11"/>
      <c r="J6" s="11"/>
      <c r="K6" s="11"/>
      <c r="L6" s="11"/>
    </row>
    <row r="7" spans="1:12" ht="14" x14ac:dyDescent="0.15">
      <c r="A7" s="19" t="s">
        <v>13</v>
      </c>
      <c r="B7" s="19" t="s">
        <v>14</v>
      </c>
      <c r="C7" s="19" t="s">
        <v>15</v>
      </c>
      <c r="D7" s="42">
        <v>4557</v>
      </c>
      <c r="E7" s="11"/>
      <c r="F7" s="20" t="s">
        <v>13</v>
      </c>
      <c r="G7" s="19">
        <v>1</v>
      </c>
      <c r="H7" s="37">
        <f>Table_11922252834[[#This Row],[WFP Ration Size (per individual)]]*Table_621242733[[#This Row],[Average Price May 2023]]</f>
        <v>4557</v>
      </c>
      <c r="I7" s="11"/>
      <c r="J7" s="11"/>
      <c r="K7" s="11"/>
      <c r="L7" s="11"/>
    </row>
    <row r="8" spans="1:12" ht="14" x14ac:dyDescent="0.15">
      <c r="A8" s="19" t="s">
        <v>16</v>
      </c>
      <c r="B8" s="19"/>
      <c r="C8" s="19" t="s">
        <v>10</v>
      </c>
      <c r="D8" s="42">
        <v>534</v>
      </c>
      <c r="E8" s="11"/>
      <c r="F8" s="20" t="s">
        <v>16</v>
      </c>
      <c r="G8" s="19">
        <v>0.15</v>
      </c>
      <c r="H8" s="37">
        <f>Table_11922252834[[#This Row],[WFP Ration Size (per individual)]]*Table_621242733[[#This Row],[Average Price May 2023]]</f>
        <v>80.099999999999994</v>
      </c>
      <c r="I8" s="11"/>
      <c r="J8" s="11"/>
      <c r="K8" s="11"/>
      <c r="L8" s="11"/>
    </row>
    <row r="9" spans="1:12" ht="14" x14ac:dyDescent="0.15">
      <c r="A9" s="11"/>
      <c r="B9" s="11"/>
      <c r="C9" s="11"/>
      <c r="D9" s="11"/>
      <c r="E9" s="11"/>
      <c r="F9" s="23" t="s">
        <v>17</v>
      </c>
      <c r="G9" s="24"/>
      <c r="H9" s="38">
        <f>SUM(H5:H8)</f>
        <v>30509.399999999998</v>
      </c>
      <c r="I9" s="11"/>
      <c r="J9" s="11"/>
      <c r="K9" s="11"/>
      <c r="L9" s="11"/>
    </row>
    <row r="16" spans="1:12" x14ac:dyDescent="0.15">
      <c r="A16" s="8"/>
    </row>
    <row r="17" spans="1:6" x14ac:dyDescent="0.15">
      <c r="A17" s="8"/>
      <c r="B17" s="8"/>
      <c r="C17" s="8"/>
      <c r="F17" s="8"/>
    </row>
    <row r="27" spans="1:6" x14ac:dyDescent="0.15">
      <c r="A27" s="9"/>
      <c r="B27" s="9"/>
      <c r="C27" s="9"/>
      <c r="E27" s="8"/>
    </row>
    <row r="28" spans="1:6" x14ac:dyDescent="0.15">
      <c r="E28" s="8"/>
    </row>
  </sheetData>
  <conditionalFormatting sqref="A4:J4 L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FDDA-7204-6C40-BDE6-1AA681C44801}">
  <dimension ref="A3:L10"/>
  <sheetViews>
    <sheetView topLeftCell="A2" workbookViewId="0">
      <selection activeCell="D10" sqref="D10"/>
    </sheetView>
  </sheetViews>
  <sheetFormatPr baseColWidth="10" defaultColWidth="11.5" defaultRowHeight="13" x14ac:dyDescent="0.15"/>
  <cols>
    <col min="2" max="2" width="13.6640625" customWidth="1"/>
    <col min="3" max="3" width="15.6640625" customWidth="1"/>
    <col min="4" max="4" width="23.1640625" customWidth="1"/>
    <col min="8" max="8" width="16.33203125" customWidth="1"/>
  </cols>
  <sheetData>
    <row r="3" spans="1:12" x14ac:dyDescent="0.15">
      <c r="A3" s="9" t="s">
        <v>44</v>
      </c>
    </row>
    <row r="4" spans="1:12" ht="14" x14ac:dyDescent="0.15">
      <c r="A4" s="12" t="s">
        <v>33</v>
      </c>
      <c r="B4" s="11"/>
      <c r="C4" s="11"/>
      <c r="D4" s="11"/>
      <c r="E4" s="11"/>
      <c r="F4" s="12" t="s">
        <v>34</v>
      </c>
      <c r="G4" s="11"/>
      <c r="H4" s="11"/>
      <c r="I4" s="11"/>
      <c r="J4" s="10" t="s">
        <v>0</v>
      </c>
      <c r="K4" s="11"/>
      <c r="L4" s="11"/>
    </row>
    <row r="5" spans="1:12" ht="45" x14ac:dyDescent="0.15">
      <c r="A5" s="13" t="s">
        <v>35</v>
      </c>
      <c r="B5" s="13" t="s">
        <v>1</v>
      </c>
      <c r="C5" s="13" t="s">
        <v>2</v>
      </c>
      <c r="D5" s="13" t="s">
        <v>43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36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1718</v>
      </c>
      <c r="E6" s="11"/>
      <c r="F6" s="20" t="s">
        <v>8</v>
      </c>
      <c r="G6" s="19">
        <v>13.5</v>
      </c>
      <c r="H6" s="37">
        <f>Table_1192225283461[[#This Row],[WFP Ration Size (per individual)]]*Table_62124273360[[#This Row],[Avg Price Dec 22 (MMK)]]</f>
        <v>23193</v>
      </c>
      <c r="I6" s="11"/>
      <c r="J6" s="25">
        <f>H10</f>
        <v>39180.1</v>
      </c>
      <c r="K6" s="21">
        <v>5</v>
      </c>
      <c r="L6" s="22">
        <f>J6*K6</f>
        <v>195900.5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4768</v>
      </c>
      <c r="E7" s="11"/>
      <c r="F7" s="20" t="s">
        <v>11</v>
      </c>
      <c r="G7" s="19">
        <v>1.8</v>
      </c>
      <c r="H7" s="37">
        <f>Table_1192225283461[[#This Row],[WFP Ration Size (per individual)]]*Table_62124273360[[#This Row],[Avg Price Dec 22 (MMK)]]</f>
        <v>8582.4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7267</v>
      </c>
      <c r="E8" s="11"/>
      <c r="F8" s="20" t="s">
        <v>13</v>
      </c>
      <c r="G8" s="19">
        <v>1</v>
      </c>
      <c r="H8" s="37">
        <f>Table_1192225283461[[#This Row],[WFP Ration Size (per individual)]]*Table_62124273360[[#This Row],[Avg Price Dec 22 (MMK)]]</f>
        <v>7267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918</v>
      </c>
      <c r="E9" s="11"/>
      <c r="F9" s="20" t="s">
        <v>16</v>
      </c>
      <c r="G9" s="19">
        <v>0.15</v>
      </c>
      <c r="H9" s="37">
        <f>Table_1192225283461[[#This Row],[WFP Ration Size (per individual)]]*Table_62124273360[[#This Row],[Avg Price Dec 22 (MMK)]]</f>
        <v>137.69999999999999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39180.1</v>
      </c>
      <c r="I10" s="11"/>
      <c r="J10" s="11"/>
      <c r="K10" s="11"/>
      <c r="L10" s="11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D5F4A-1968-8A49-820B-6FDB1C2C5980}">
  <dimension ref="A3:L22"/>
  <sheetViews>
    <sheetView workbookViewId="0">
      <selection activeCell="D27" sqref="D27"/>
    </sheetView>
  </sheetViews>
  <sheetFormatPr baseColWidth="10" defaultRowHeight="13" x14ac:dyDescent="0.15"/>
  <sheetData>
    <row r="3" spans="1:12" x14ac:dyDescent="0.15">
      <c r="A3" s="9" t="s">
        <v>54</v>
      </c>
    </row>
    <row r="4" spans="1:12" ht="14" x14ac:dyDescent="0.15">
      <c r="A4" s="12" t="s">
        <v>33</v>
      </c>
      <c r="B4" s="11"/>
      <c r="C4" s="11"/>
      <c r="D4" s="11"/>
      <c r="E4" s="11"/>
      <c r="F4" s="12" t="s">
        <v>34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35</v>
      </c>
      <c r="B5" s="13" t="s">
        <v>1</v>
      </c>
      <c r="C5" s="13" t="s">
        <v>2</v>
      </c>
      <c r="D5" s="13" t="s">
        <v>52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36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1677</v>
      </c>
      <c r="E6" s="11"/>
      <c r="F6" s="20" t="s">
        <v>8</v>
      </c>
      <c r="G6" s="19">
        <v>13.5</v>
      </c>
      <c r="H6" s="37">
        <f>Table_1192225285813[[#This Row],[WFP Ration Size (per individual)]]*Table_62124275712[[#This Row],[Avg Price May 2023 (MMK)]]</f>
        <v>22639.5</v>
      </c>
      <c r="I6" s="11"/>
      <c r="J6" s="25">
        <f>H10</f>
        <v>36595.15</v>
      </c>
      <c r="K6" s="21">
        <v>5</v>
      </c>
      <c r="L6" s="22">
        <f>J6*K6</f>
        <v>182975.75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3671</v>
      </c>
      <c r="E7" s="11"/>
      <c r="F7" s="20" t="s">
        <v>11</v>
      </c>
      <c r="G7" s="19">
        <v>1.8</v>
      </c>
      <c r="H7" s="37">
        <f>Table_1192225285813[[#This Row],[WFP Ration Size (per individual)]]*Table_62124275712[[#This Row],[Avg Price May 2023 (MMK)]]</f>
        <v>6607.8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7276</v>
      </c>
      <c r="E8" s="11"/>
      <c r="F8" s="20" t="s">
        <v>13</v>
      </c>
      <c r="G8" s="19">
        <v>1</v>
      </c>
      <c r="H8" s="37">
        <f>Table_1192225285813[[#This Row],[WFP Ration Size (per individual)]]*Table_62124275712[[#This Row],[Avg Price May 2023 (MMK)]]</f>
        <v>7276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479</v>
      </c>
      <c r="E9" s="11"/>
      <c r="F9" s="20" t="s">
        <v>16</v>
      </c>
      <c r="G9" s="19">
        <v>0.15</v>
      </c>
      <c r="H9" s="37">
        <f>Table_1192225285813[[#This Row],[WFP Ration Size (per individual)]]*Table_62124275712[[#This Row],[Avg Price May 2023 (MMK)]]</f>
        <v>71.849999999999994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36595.15</v>
      </c>
      <c r="I10" s="11"/>
      <c r="J10" s="11"/>
      <c r="K10" s="11"/>
      <c r="L10" s="11"/>
    </row>
    <row r="13" spans="1:12" x14ac:dyDescent="0.15">
      <c r="A13" s="8" t="s">
        <v>60</v>
      </c>
    </row>
    <row r="17" spans="1:2" x14ac:dyDescent="0.15">
      <c r="B17" s="8"/>
    </row>
    <row r="22" spans="1:2" x14ac:dyDescent="0.15">
      <c r="A22" s="8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0596-242B-6D4D-A94B-FC0B3CAD1A46}">
  <dimension ref="A3:L10"/>
  <sheetViews>
    <sheetView workbookViewId="0">
      <selection activeCell="D25" sqref="D25"/>
    </sheetView>
  </sheetViews>
  <sheetFormatPr baseColWidth="10" defaultColWidth="11.5" defaultRowHeight="13" x14ac:dyDescent="0.15"/>
  <cols>
    <col min="2" max="2" width="15.6640625" customWidth="1"/>
    <col min="4" max="4" width="22.1640625" customWidth="1"/>
  </cols>
  <sheetData>
    <row r="3" spans="1:12" ht="14" x14ac:dyDescent="0.15">
      <c r="A3" s="26" t="s">
        <v>39</v>
      </c>
    </row>
    <row r="4" spans="1:12" ht="14" x14ac:dyDescent="0.15">
      <c r="A4" s="12" t="s">
        <v>33</v>
      </c>
      <c r="B4" s="11"/>
      <c r="C4" s="11"/>
      <c r="D4" s="11"/>
      <c r="E4" s="11"/>
      <c r="F4" s="12" t="s">
        <v>34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35</v>
      </c>
      <c r="B5" s="13" t="s">
        <v>1</v>
      </c>
      <c r="C5" s="13" t="s">
        <v>2</v>
      </c>
      <c r="D5" s="13" t="s">
        <v>52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36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1783</v>
      </c>
      <c r="E6" s="11"/>
      <c r="F6" s="20" t="s">
        <v>8</v>
      </c>
      <c r="G6" s="19">
        <v>13.5</v>
      </c>
      <c r="H6" s="37">
        <f>Table_11922252846[[#This Row],[WFP Ration Size (per individual)]]*Table_621242745[[#This Row],[Avg Price May 2023 (MMK)]]</f>
        <v>24070.5</v>
      </c>
      <c r="I6" s="11"/>
      <c r="J6" s="25">
        <f>H10</f>
        <v>38187.799999999996</v>
      </c>
      <c r="K6" s="21">
        <v>5</v>
      </c>
      <c r="L6" s="22">
        <f>J6*K6</f>
        <v>190938.99999999997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4379</v>
      </c>
      <c r="E7" s="11"/>
      <c r="F7" s="20" t="s">
        <v>11</v>
      </c>
      <c r="G7" s="19">
        <v>1.8</v>
      </c>
      <c r="H7" s="37">
        <f>Table_11922252846[[#This Row],[WFP Ration Size (per individual)]]*Table_621242745[[#This Row],[Avg Price May 2023 (MMK)]]</f>
        <v>7882.2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6116</v>
      </c>
      <c r="E8" s="11"/>
      <c r="F8" s="20" t="s">
        <v>13</v>
      </c>
      <c r="G8" s="19">
        <v>1</v>
      </c>
      <c r="H8" s="37">
        <f>Table_11922252846[[#This Row],[WFP Ration Size (per individual)]]*Table_621242745[[#This Row],[Avg Price May 2023 (MMK)]]</f>
        <v>6116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794</v>
      </c>
      <c r="E9" s="11"/>
      <c r="F9" s="20" t="s">
        <v>16</v>
      </c>
      <c r="G9" s="19">
        <v>0.15</v>
      </c>
      <c r="H9" s="37">
        <f>Table_11922252846[[#This Row],[WFP Ration Size (per individual)]]*Table_621242745[[#This Row],[Avg Price May 2023 (MMK)]]</f>
        <v>119.1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38187.799999999996</v>
      </c>
      <c r="I10" s="11"/>
      <c r="J10" s="11"/>
      <c r="K10" s="11"/>
      <c r="L10" s="11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58A3-6C2A-C341-A297-64990E15EDA6}">
  <dimension ref="A3:L19"/>
  <sheetViews>
    <sheetView topLeftCell="A2" workbookViewId="0">
      <selection activeCell="E18" sqref="E18"/>
    </sheetView>
  </sheetViews>
  <sheetFormatPr baseColWidth="10" defaultColWidth="11.5" defaultRowHeight="13" x14ac:dyDescent="0.15"/>
  <cols>
    <col min="2" max="2" width="15.6640625" customWidth="1"/>
    <col min="4" max="4" width="13.33203125" customWidth="1"/>
  </cols>
  <sheetData>
    <row r="3" spans="1:12" ht="14" x14ac:dyDescent="0.15">
      <c r="A3" s="26" t="s">
        <v>45</v>
      </c>
    </row>
    <row r="4" spans="1:12" ht="14" x14ac:dyDescent="0.15">
      <c r="A4" s="12" t="s">
        <v>33</v>
      </c>
      <c r="B4" s="11"/>
      <c r="C4" s="11"/>
      <c r="D4" s="11"/>
      <c r="E4" s="11"/>
      <c r="F4" s="12" t="s">
        <v>34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35</v>
      </c>
      <c r="B5" s="13" t="s">
        <v>1</v>
      </c>
      <c r="C5" s="13" t="s">
        <v>2</v>
      </c>
      <c r="D5" s="13" t="s">
        <v>52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36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1809</v>
      </c>
      <c r="E6" s="11"/>
      <c r="F6" s="20" t="s">
        <v>8</v>
      </c>
      <c r="G6" s="19">
        <v>13.5</v>
      </c>
      <c r="H6" s="37">
        <f>Table_119222528464[[#This Row],[WFP Ration Size (per individual)]]*Table_6212427453[[#This Row],[Avg Price May 2023 (MMK)]]</f>
        <v>24421.5</v>
      </c>
      <c r="I6" s="11"/>
      <c r="J6" s="25">
        <f>H10</f>
        <v>35315.800000000003</v>
      </c>
      <c r="K6" s="21">
        <v>5</v>
      </c>
      <c r="L6" s="22">
        <f>J6*K6</f>
        <v>176579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3463</v>
      </c>
      <c r="E7" s="11"/>
      <c r="F7" s="20" t="s">
        <v>11</v>
      </c>
      <c r="G7" s="19">
        <v>1.8</v>
      </c>
      <c r="H7" s="37">
        <f>Table_119222528464[[#This Row],[WFP Ration Size (per individual)]]*Table_6212427453[[#This Row],[Avg Price May 2023 (MMK)]]</f>
        <v>6233.4000000000005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4576</v>
      </c>
      <c r="E8" s="11"/>
      <c r="F8" s="20" t="s">
        <v>13</v>
      </c>
      <c r="G8" s="19">
        <v>1</v>
      </c>
      <c r="H8" s="37">
        <f>Table_119222528464[[#This Row],[WFP Ration Size (per individual)]]*Table_6212427453[[#This Row],[Avg Price May 2023 (MMK)]]</f>
        <v>4576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566</v>
      </c>
      <c r="E9" s="11"/>
      <c r="F9" s="20" t="s">
        <v>16</v>
      </c>
      <c r="G9" s="19">
        <v>0.15</v>
      </c>
      <c r="H9" s="37">
        <f>Table_119222528464[[#This Row],[WFP Ration Size (per individual)]]*Table_6212427453[[#This Row],[Avg Price May 2023 (MMK)]]</f>
        <v>84.899999999999991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35315.800000000003</v>
      </c>
      <c r="I10" s="11"/>
      <c r="J10" s="11"/>
      <c r="K10" s="11"/>
      <c r="L10" s="11"/>
    </row>
    <row r="18" spans="2:4" x14ac:dyDescent="0.15">
      <c r="B18" s="8"/>
    </row>
    <row r="19" spans="2:4" x14ac:dyDescent="0.15">
      <c r="B19" s="8"/>
      <c r="C19" s="8"/>
      <c r="D19" s="8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9F1B5-CB9E-7F41-8BDB-5AD0C972E1A8}">
  <dimension ref="A2:L9"/>
  <sheetViews>
    <sheetView workbookViewId="0">
      <selection activeCell="D23" sqref="D23"/>
    </sheetView>
  </sheetViews>
  <sheetFormatPr baseColWidth="10" defaultColWidth="11.5" defaultRowHeight="13" x14ac:dyDescent="0.15"/>
  <cols>
    <col min="2" max="2" width="14.6640625" customWidth="1"/>
    <col min="4" max="4" width="25.83203125" customWidth="1"/>
  </cols>
  <sheetData>
    <row r="2" spans="1:12" ht="14" x14ac:dyDescent="0.15">
      <c r="A2" s="26" t="s">
        <v>46</v>
      </c>
    </row>
    <row r="3" spans="1:12" ht="14" x14ac:dyDescent="0.15">
      <c r="A3" s="12" t="s">
        <v>33</v>
      </c>
      <c r="B3" s="11"/>
      <c r="C3" s="11"/>
      <c r="D3" s="11"/>
      <c r="E3" s="11"/>
      <c r="F3" s="12" t="s">
        <v>34</v>
      </c>
      <c r="G3" s="11"/>
      <c r="H3" s="11"/>
      <c r="I3" s="11"/>
      <c r="J3" s="10" t="s">
        <v>0</v>
      </c>
      <c r="K3" s="11"/>
      <c r="L3" s="11"/>
    </row>
    <row r="4" spans="1:12" ht="60" x14ac:dyDescent="0.15">
      <c r="A4" s="13" t="s">
        <v>35</v>
      </c>
      <c r="B4" s="13" t="s">
        <v>1</v>
      </c>
      <c r="C4" s="13" t="s">
        <v>2</v>
      </c>
      <c r="D4" s="13" t="s">
        <v>52</v>
      </c>
      <c r="E4" s="14"/>
      <c r="F4" s="15" t="s">
        <v>3</v>
      </c>
      <c r="G4" s="16" t="s">
        <v>4</v>
      </c>
      <c r="H4" s="17" t="s">
        <v>5</v>
      </c>
      <c r="I4" s="14"/>
      <c r="J4" s="16" t="s">
        <v>6</v>
      </c>
      <c r="K4" s="18" t="s">
        <v>7</v>
      </c>
      <c r="L4" s="17" t="s">
        <v>36</v>
      </c>
    </row>
    <row r="5" spans="1:12" ht="14" x14ac:dyDescent="0.15">
      <c r="A5" s="19" t="s">
        <v>8</v>
      </c>
      <c r="B5" s="19" t="s">
        <v>9</v>
      </c>
      <c r="C5" s="19" t="s">
        <v>10</v>
      </c>
      <c r="D5" s="42">
        <v>1394</v>
      </c>
      <c r="E5" s="11"/>
      <c r="F5" s="20" t="s">
        <v>8</v>
      </c>
      <c r="G5" s="19">
        <v>13.5</v>
      </c>
      <c r="H5" s="37">
        <f>Table_1192225285564[[#This Row],[WFP Ration Size (per individual)]]*Table_62124275463[[#This Row],[Avg Price May 2023 (MMK)]]</f>
        <v>18819</v>
      </c>
      <c r="I5" s="11"/>
      <c r="J5" s="25">
        <f>H9</f>
        <v>29598.7</v>
      </c>
      <c r="K5" s="21">
        <v>5</v>
      </c>
      <c r="L5" s="22">
        <f>J5*K5</f>
        <v>147993.5</v>
      </c>
    </row>
    <row r="6" spans="1:12" ht="14" x14ac:dyDescent="0.15">
      <c r="A6" s="19" t="s">
        <v>11</v>
      </c>
      <c r="B6" s="19" t="s">
        <v>12</v>
      </c>
      <c r="C6" s="19" t="s">
        <v>10</v>
      </c>
      <c r="D6" s="42">
        <v>3295</v>
      </c>
      <c r="E6" s="11"/>
      <c r="F6" s="20" t="s">
        <v>11</v>
      </c>
      <c r="G6" s="19">
        <v>1.8</v>
      </c>
      <c r="H6" s="37">
        <f>Table_1192225285564[[#This Row],[WFP Ration Size (per individual)]]*Table_62124275463[[#This Row],[Avg Price May 2023 (MMK)]]</f>
        <v>5931</v>
      </c>
      <c r="I6" s="11"/>
      <c r="J6" s="11"/>
      <c r="K6" s="11"/>
      <c r="L6" s="11"/>
    </row>
    <row r="7" spans="1:12" ht="14" x14ac:dyDescent="0.15">
      <c r="A7" s="19" t="s">
        <v>13</v>
      </c>
      <c r="B7" s="19" t="s">
        <v>14</v>
      </c>
      <c r="C7" s="19" t="s">
        <v>15</v>
      </c>
      <c r="D7" s="42">
        <v>4789</v>
      </c>
      <c r="E7" s="11"/>
      <c r="F7" s="20" t="s">
        <v>13</v>
      </c>
      <c r="G7" s="19">
        <v>1</v>
      </c>
      <c r="H7" s="37">
        <f>Table_1192225285564[[#This Row],[WFP Ration Size (per individual)]]*Table_62124275463[[#This Row],[Avg Price May 2023 (MMK)]]</f>
        <v>4789</v>
      </c>
      <c r="I7" s="11"/>
      <c r="J7" s="11"/>
      <c r="K7" s="11"/>
      <c r="L7" s="11"/>
    </row>
    <row r="8" spans="1:12" ht="14" x14ac:dyDescent="0.15">
      <c r="A8" s="19" t="s">
        <v>16</v>
      </c>
      <c r="B8" s="19"/>
      <c r="C8" s="19" t="s">
        <v>10</v>
      </c>
      <c r="D8" s="42">
        <v>398</v>
      </c>
      <c r="E8" s="11"/>
      <c r="F8" s="20" t="s">
        <v>16</v>
      </c>
      <c r="G8" s="19">
        <v>0.15</v>
      </c>
      <c r="H8" s="37">
        <f>Table_1192225285564[[#This Row],[WFP Ration Size (per individual)]]*Table_62124275463[[#This Row],[Avg Price May 2023 (MMK)]]</f>
        <v>59.699999999999996</v>
      </c>
      <c r="I8" s="11"/>
      <c r="J8" s="11"/>
      <c r="K8" s="11"/>
      <c r="L8" s="11"/>
    </row>
    <row r="9" spans="1:12" ht="14" x14ac:dyDescent="0.15">
      <c r="A9" s="11"/>
      <c r="B9" s="11"/>
      <c r="C9" s="11"/>
      <c r="D9" s="11"/>
      <c r="E9" s="11"/>
      <c r="F9" s="23" t="s">
        <v>17</v>
      </c>
      <c r="G9" s="24"/>
      <c r="H9" s="38">
        <f>SUM(H5:H8)</f>
        <v>29598.7</v>
      </c>
      <c r="I9" s="11"/>
      <c r="J9" s="11"/>
      <c r="K9" s="11"/>
      <c r="L9" s="11"/>
    </row>
  </sheetData>
  <conditionalFormatting sqref="A4:J4 L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EFD66-B1A8-E348-8BD7-065BA8855D52}">
  <dimension ref="A4:L10"/>
  <sheetViews>
    <sheetView workbookViewId="0">
      <selection activeCell="D27" sqref="D27"/>
    </sheetView>
  </sheetViews>
  <sheetFormatPr baseColWidth="10" defaultColWidth="11.5" defaultRowHeight="13" x14ac:dyDescent="0.15"/>
  <cols>
    <col min="4" max="4" width="22.6640625" customWidth="1"/>
  </cols>
  <sheetData>
    <row r="4" spans="1:12" ht="14" x14ac:dyDescent="0.15">
      <c r="A4" s="12" t="s">
        <v>33</v>
      </c>
      <c r="B4" s="11"/>
      <c r="C4" s="11"/>
      <c r="D4" s="11"/>
      <c r="E4" s="11"/>
      <c r="F4" s="12" t="s">
        <v>34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35</v>
      </c>
      <c r="B5" s="13" t="s">
        <v>1</v>
      </c>
      <c r="C5" s="13" t="s">
        <v>2</v>
      </c>
      <c r="D5" s="13" t="s">
        <v>52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36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1488</v>
      </c>
      <c r="E6" s="11"/>
      <c r="F6" s="20" t="s">
        <v>8</v>
      </c>
      <c r="G6" s="19">
        <v>13.5</v>
      </c>
      <c r="H6" s="37">
        <f>Table_11922252858[[#This Row],[WFP Ration Size (per individual)]]*Table_621242757[[#This Row],[Avg Price May 2023 (MMK)]]</f>
        <v>20088</v>
      </c>
      <c r="I6" s="11"/>
      <c r="J6" s="25">
        <f>H10</f>
        <v>30364.15</v>
      </c>
      <c r="K6" s="21">
        <v>5</v>
      </c>
      <c r="L6" s="22">
        <f>J6*K6</f>
        <v>151820.75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3444</v>
      </c>
      <c r="E7" s="11"/>
      <c r="F7" s="20" t="s">
        <v>11</v>
      </c>
      <c r="G7" s="19">
        <v>1.8</v>
      </c>
      <c r="H7" s="37">
        <f>Table_11922252858[[#This Row],[WFP Ration Size (per individual)]]*Table_621242757[[#This Row],[Avg Price May 2023 (MMK)]]</f>
        <v>6199.2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4018</v>
      </c>
      <c r="E8" s="11"/>
      <c r="F8" s="20" t="s">
        <v>13</v>
      </c>
      <c r="G8" s="19">
        <v>1</v>
      </c>
      <c r="H8" s="37">
        <f>Table_11922252858[[#This Row],[WFP Ration Size (per individual)]]*Table_621242757[[#This Row],[Avg Price May 2023 (MMK)]]</f>
        <v>4018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393</v>
      </c>
      <c r="E9" s="11"/>
      <c r="F9" s="20" t="s">
        <v>16</v>
      </c>
      <c r="G9" s="19">
        <v>0.15</v>
      </c>
      <c r="H9" s="37">
        <f>Table_11922252858[[#This Row],[WFP Ration Size (per individual)]]*Table_621242757[[#This Row],[Avg Price May 2023 (MMK)]]</f>
        <v>58.949999999999996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30364.15</v>
      </c>
      <c r="I10" s="11"/>
      <c r="J10" s="11"/>
      <c r="K10" s="11"/>
      <c r="L10" s="11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3C94-2923-9141-AF66-005B04FF7868}">
  <dimension ref="A3:H18"/>
  <sheetViews>
    <sheetView tabSelected="1" topLeftCell="A3" zoomScale="130" zoomScaleNormal="130" workbookViewId="0">
      <selection activeCell="F5" sqref="F5"/>
    </sheetView>
  </sheetViews>
  <sheetFormatPr baseColWidth="10" defaultColWidth="11.5" defaultRowHeight="13" x14ac:dyDescent="0.15"/>
  <cols>
    <col min="1" max="1" width="18.33203125" customWidth="1"/>
    <col min="2" max="7" width="15.83203125" customWidth="1"/>
    <col min="8" max="8" width="15.33203125" customWidth="1"/>
  </cols>
  <sheetData>
    <row r="3" spans="1:8" x14ac:dyDescent="0.15">
      <c r="A3" s="8"/>
    </row>
    <row r="4" spans="1:8" ht="126" customHeight="1" x14ac:dyDescent="0.15">
      <c r="A4" s="39" t="s">
        <v>18</v>
      </c>
      <c r="B4" s="40" t="s">
        <v>58</v>
      </c>
      <c r="C4" s="40" t="s">
        <v>41</v>
      </c>
      <c r="D4" s="40" t="s">
        <v>42</v>
      </c>
      <c r="E4" s="40" t="s">
        <v>19</v>
      </c>
      <c r="F4" s="40" t="s">
        <v>20</v>
      </c>
      <c r="G4" s="41" t="s">
        <v>21</v>
      </c>
      <c r="H4" s="40" t="s">
        <v>50</v>
      </c>
    </row>
    <row r="5" spans="1:8" x14ac:dyDescent="0.15">
      <c r="A5" s="30" t="s">
        <v>22</v>
      </c>
      <c r="B5" s="28">
        <f>Chin!H10</f>
        <v>35887.1</v>
      </c>
      <c r="C5" s="27">
        <f>Table67[[#This Row],[Total Cost of SMEB per individual]]*0.1</f>
        <v>5521.0923076923073</v>
      </c>
      <c r="D5" s="27">
        <f>Table67[[#This Row],[Total Cost of SMEB per individual]]*0.21</f>
        <v>11594.293846153845</v>
      </c>
      <c r="E5" s="27">
        <f>Table67[[#This Row],[Total Cost of SMEB per individual]]*0.04</f>
        <v>2208.436923076923</v>
      </c>
      <c r="F5" s="27">
        <f xml:space="preserve"> Table67[[#This Row],[Cost of Individual full food ration (May 2023) 65% of SMEB]]/0.65</f>
        <v>55210.923076923071</v>
      </c>
      <c r="G5" s="31">
        <f>F5*5</f>
        <v>276054.61538461538</v>
      </c>
      <c r="H5" s="43">
        <f>MROUND(Table67[[#This Row],[Cost of SMEB for a household of 5]],5000)</f>
        <v>275000</v>
      </c>
    </row>
    <row r="6" spans="1:8" x14ac:dyDescent="0.15">
      <c r="A6" s="30" t="s">
        <v>23</v>
      </c>
      <c r="B6" s="28">
        <f>Kachin!H8</f>
        <v>32994.200000000004</v>
      </c>
      <c r="C6" s="27">
        <f>Table67[[#This Row],[Total Cost of SMEB per individual]]*0.1</f>
        <v>5076.0307692307697</v>
      </c>
      <c r="D6" s="27">
        <f>Table67[[#This Row],[Total Cost of SMEB per individual]]*0.21</f>
        <v>10659.664615384616</v>
      </c>
      <c r="E6" s="27">
        <f>Table67[[#This Row],[Total Cost of SMEB per individual]]*0.04</f>
        <v>2030.4123076923079</v>
      </c>
      <c r="F6" s="27">
        <f xml:space="preserve"> Table67[[#This Row],[Cost of Individual full food ration (May 2023) 65% of SMEB]]/0.65</f>
        <v>50760.307692307695</v>
      </c>
      <c r="G6" s="31">
        <f>F6*5</f>
        <v>253801.53846153847</v>
      </c>
      <c r="H6" s="44">
        <f>MROUND(Table67[[#This Row],[Cost of SMEB for a household of 5]],5000)</f>
        <v>255000</v>
      </c>
    </row>
    <row r="7" spans="1:8" x14ac:dyDescent="0.15">
      <c r="A7" s="30" t="s">
        <v>28</v>
      </c>
      <c r="B7" s="28">
        <f>Kayah!H10</f>
        <v>29395.149999999998</v>
      </c>
      <c r="C7" s="27">
        <f>Table67[[#This Row],[Total Cost of SMEB per individual]]*0.1</f>
        <v>4522.330769230769</v>
      </c>
      <c r="D7" s="27">
        <f>Table67[[#This Row],[Total Cost of SMEB per individual]]*0.21</f>
        <v>9496.8946153846136</v>
      </c>
      <c r="E7" s="27">
        <f>Table67[[#This Row],[Total Cost of SMEB per individual]]*0.04</f>
        <v>1808.9323076923076</v>
      </c>
      <c r="F7" s="27">
        <f xml:space="preserve"> Table67[[#This Row],[Cost of Individual full food ration (May 2023) 65% of SMEB]]/0.65</f>
        <v>45223.307692307688</v>
      </c>
      <c r="G7" s="31">
        <f>F7*5</f>
        <v>226116.53846153844</v>
      </c>
      <c r="H7" s="44">
        <f>MROUND(Table67[[#This Row],[Cost of SMEB for a household of 5]],5000)</f>
        <v>225000</v>
      </c>
    </row>
    <row r="8" spans="1:8" x14ac:dyDescent="0.15">
      <c r="A8" s="30" t="s">
        <v>29</v>
      </c>
      <c r="B8" s="28">
        <f>Kayin!H10</f>
        <v>29927.200000000001</v>
      </c>
      <c r="C8" s="27">
        <f>Table67[[#This Row],[Total Cost of SMEB per individual]]*0.1</f>
        <v>4604.1846153846154</v>
      </c>
      <c r="D8" s="27">
        <f>Table67[[#This Row],[Total Cost of SMEB per individual]]*0.21</f>
        <v>9668.7876923076929</v>
      </c>
      <c r="E8" s="27">
        <f>Table67[[#This Row],[Total Cost of SMEB per individual]]*0.04</f>
        <v>1841.6738461538462</v>
      </c>
      <c r="F8" s="27">
        <f xml:space="preserve"> Table67[[#This Row],[Cost of Individual full food ration (May 2023) 65% of SMEB]]/0.65</f>
        <v>46041.846153846156</v>
      </c>
      <c r="G8" s="31">
        <f>F8*5</f>
        <v>230209.23076923078</v>
      </c>
      <c r="H8" s="44">
        <f>MROUND(Table67[[#This Row],[Cost of SMEB for a household of 5]],5000)</f>
        <v>230000</v>
      </c>
    </row>
    <row r="9" spans="1:8" x14ac:dyDescent="0.15">
      <c r="A9" s="30" t="s">
        <v>24</v>
      </c>
      <c r="B9" s="28">
        <f>Magway!H9</f>
        <v>29022.850000000002</v>
      </c>
      <c r="C9" s="27">
        <f>Table67[[#This Row],[Total Cost of SMEB per individual]]*0.1</f>
        <v>4465.0538461538463</v>
      </c>
      <c r="D9" s="27">
        <f>Table67[[#This Row],[Total Cost of SMEB per individual]]*0.21</f>
        <v>9376.6130769230767</v>
      </c>
      <c r="E9" s="27">
        <f>Table67[[#This Row],[Total Cost of SMEB per individual]]*0.04</f>
        <v>1786.0215384615385</v>
      </c>
      <c r="F9" s="27">
        <f xml:space="preserve"> Table67[[#This Row],[Cost of Individual full food ration (May 2023) 65% of SMEB]]/0.65</f>
        <v>44650.538461538461</v>
      </c>
      <c r="G9" s="31">
        <f>F9*5</f>
        <v>223252.69230769231</v>
      </c>
      <c r="H9" s="44">
        <f>MROUND(Table67[[#This Row],[Cost of SMEB for a household of 5]],5000)</f>
        <v>225000</v>
      </c>
    </row>
    <row r="10" spans="1:8" x14ac:dyDescent="0.15">
      <c r="A10" s="30" t="s">
        <v>25</v>
      </c>
      <c r="B10" s="28">
        <f>Mandalay!H9</f>
        <v>30997.050000000003</v>
      </c>
      <c r="C10" s="27">
        <f>Table67[[#This Row],[Total Cost of SMEB per individual]]*0.1</f>
        <v>4768.7769230769236</v>
      </c>
      <c r="D10" s="27">
        <f>Table67[[#This Row],[Total Cost of SMEB per individual]]*0.21</f>
        <v>10014.431538461538</v>
      </c>
      <c r="E10" s="27">
        <f>Table67[[#This Row],[Total Cost of SMEB per individual]]*0.04</f>
        <v>1907.5107692307695</v>
      </c>
      <c r="F10" s="27">
        <f xml:space="preserve"> Table67[[#This Row],[Cost of Individual full food ration (May 2023) 65% of SMEB]]/0.65</f>
        <v>47687.769230769234</v>
      </c>
      <c r="G10" s="31">
        <f>F10*5</f>
        <v>238438.84615384619</v>
      </c>
      <c r="H10" s="44">
        <f>MROUND(Table67[[#This Row],[Cost of SMEB for a household of 5]],5000)</f>
        <v>240000</v>
      </c>
    </row>
    <row r="11" spans="1:8" x14ac:dyDescent="0.15">
      <c r="A11" s="30" t="s">
        <v>31</v>
      </c>
      <c r="B11" s="28">
        <f>Mon!H10</f>
        <v>29908</v>
      </c>
      <c r="C11" s="27">
        <f>Table67[[#This Row],[Total Cost of SMEB per individual]]*0.1</f>
        <v>4601.2307692307686</v>
      </c>
      <c r="D11" s="27">
        <f>Table67[[#This Row],[Total Cost of SMEB per individual]]*0.21</f>
        <v>9662.5846153846142</v>
      </c>
      <c r="E11" s="27">
        <f>Table67[[#This Row],[Total Cost of SMEB per individual]]*0.04</f>
        <v>1840.4923076923076</v>
      </c>
      <c r="F11" s="27">
        <f xml:space="preserve"> Table67[[#This Row],[Cost of Individual full food ration (May 2023) 65% of SMEB]]/0.65</f>
        <v>46012.307692307688</v>
      </c>
      <c r="G11" s="31">
        <f>F11*5</f>
        <v>230061.53846153844</v>
      </c>
      <c r="H11" s="44">
        <f>MROUND(Table67[[#This Row],[Cost of SMEB for a household of 5]],5000)</f>
        <v>230000</v>
      </c>
    </row>
    <row r="12" spans="1:8" ht="14" x14ac:dyDescent="0.15">
      <c r="A12" s="29" t="s">
        <v>47</v>
      </c>
      <c r="B12" s="27">
        <f>Rakhine!H9</f>
        <v>30509.399999999998</v>
      </c>
      <c r="C12" s="27">
        <f>Table67[[#This Row],[Total Cost of SMEB per individual]]*0.1</f>
        <v>4693.7538461538452</v>
      </c>
      <c r="D12" s="27">
        <f>Table67[[#This Row],[Total Cost of SMEB per individual]]*0.21</f>
        <v>9856.8830769230754</v>
      </c>
      <c r="E12" s="27">
        <f>Table67[[#This Row],[Total Cost of SMEB per individual]]*0.04</f>
        <v>1877.5015384615381</v>
      </c>
      <c r="F12" s="27">
        <f xml:space="preserve"> Table67[[#This Row],[Cost of Individual full food ration (May 2023) 65% of SMEB]]/0.65</f>
        <v>46937.538461538454</v>
      </c>
      <c r="G12" s="31">
        <f>F12*5</f>
        <v>234687.69230769225</v>
      </c>
      <c r="H12" s="44">
        <f>MROUND(Table67[[#This Row],[Cost of SMEB for a household of 5]],5000)</f>
        <v>235000</v>
      </c>
    </row>
    <row r="13" spans="1:8" x14ac:dyDescent="0.15">
      <c r="A13" s="30" t="s">
        <v>26</v>
      </c>
      <c r="B13" s="28">
        <f>'Sagaing North'!H10</f>
        <v>39180.1</v>
      </c>
      <c r="C13" s="27">
        <f>Table67[[#This Row],[Total Cost of SMEB per individual]]*0.1</f>
        <v>6027.7076923076929</v>
      </c>
      <c r="D13" s="27">
        <f>Table67[[#This Row],[Total Cost of SMEB per individual]]*0.21</f>
        <v>12658.186153846153</v>
      </c>
      <c r="E13" s="27">
        <f>Table67[[#This Row],[Total Cost of SMEB per individual]]*0.04</f>
        <v>2411.083076923077</v>
      </c>
      <c r="F13" s="27">
        <f xml:space="preserve"> Table67[[#This Row],[Cost of Individual full food ration (May 2023) 65% of SMEB]]/0.65</f>
        <v>60277.076923076922</v>
      </c>
      <c r="G13" s="31">
        <f>F13*5</f>
        <v>301385.38461538462</v>
      </c>
      <c r="H13" s="44">
        <f>MROUND(Table67[[#This Row],[Cost of SMEB for a household of 5]],5000)</f>
        <v>300000</v>
      </c>
    </row>
    <row r="14" spans="1:8" x14ac:dyDescent="0.15">
      <c r="A14" s="47" t="s">
        <v>55</v>
      </c>
      <c r="B14" s="48">
        <f>'Sagaing South Central'!H10</f>
        <v>36595.15</v>
      </c>
      <c r="C14" s="27">
        <f>Table67[[#This Row],[Total Cost of SMEB per individual]]*0.1</f>
        <v>5630.0230769230775</v>
      </c>
      <c r="D14" s="27">
        <f>Table67[[#This Row],[Total Cost of SMEB per individual]]*0.21</f>
        <v>11823.048461538461</v>
      </c>
      <c r="E14" s="27">
        <f>Table67[[#This Row],[Total Cost of SMEB per individual]]*0.04</f>
        <v>2252.0092307692312</v>
      </c>
      <c r="F14" s="27">
        <f xml:space="preserve"> Table67[[#This Row],[Cost of Individual full food ration (May 2023) 65% of SMEB]]/0.65</f>
        <v>56300.230769230773</v>
      </c>
      <c r="G14" s="31">
        <f>F14*5</f>
        <v>281501.15384615387</v>
      </c>
      <c r="H14" s="44">
        <f>MROUND(Table67[[#This Row],[Cost of SMEB for a household of 5]],5000)</f>
        <v>280000</v>
      </c>
    </row>
    <row r="15" spans="1:8" x14ac:dyDescent="0.15">
      <c r="A15" s="30" t="s">
        <v>27</v>
      </c>
      <c r="B15" s="28">
        <f>'Shan (North)'!H10</f>
        <v>38187.799999999996</v>
      </c>
      <c r="C15" s="27">
        <f>Table67[[#This Row],[Total Cost of SMEB per individual]]*0.1</f>
        <v>5875.0461538461532</v>
      </c>
      <c r="D15" s="27">
        <f>Table67[[#This Row],[Total Cost of SMEB per individual]]*0.21</f>
        <v>12337.596923076921</v>
      </c>
      <c r="E15" s="27">
        <f>Table67[[#This Row],[Total Cost of SMEB per individual]]*0.04</f>
        <v>2350.0184615384615</v>
      </c>
      <c r="F15" s="27">
        <f xml:space="preserve"> Table67[[#This Row],[Cost of Individual full food ration (May 2023) 65% of SMEB]]/0.65</f>
        <v>58750.461538461532</v>
      </c>
      <c r="G15" s="31">
        <f>F15*5</f>
        <v>293752.30769230763</v>
      </c>
      <c r="H15" s="44">
        <f>MROUND(Table67[[#This Row],[Cost of SMEB for a household of 5]],5000)</f>
        <v>295000</v>
      </c>
    </row>
    <row r="16" spans="1:8" x14ac:dyDescent="0.15">
      <c r="A16" s="30" t="s">
        <v>48</v>
      </c>
      <c r="B16" s="28">
        <f>'Shan (South)'!H10</f>
        <v>35315.800000000003</v>
      </c>
      <c r="C16" s="27">
        <f>Table67[[#This Row],[Total Cost of SMEB per individual]]*0.1</f>
        <v>5433.2000000000007</v>
      </c>
      <c r="D16" s="27">
        <f>Table67[[#This Row],[Total Cost of SMEB per individual]]*0.21</f>
        <v>11409.72</v>
      </c>
      <c r="E16" s="27">
        <f>Table67[[#This Row],[Total Cost of SMEB per individual]]*0.04</f>
        <v>2173.2800000000002</v>
      </c>
      <c r="F16" s="27">
        <f xml:space="preserve"> Table67[[#This Row],[Cost of Individual full food ration (May 2023) 65% of SMEB]]/0.65</f>
        <v>54332</v>
      </c>
      <c r="G16" s="31">
        <f>F16*5</f>
        <v>271660</v>
      </c>
      <c r="H16" s="44">
        <f>MROUND(Table67[[#This Row],[Cost of SMEB for a household of 5]],5000)</f>
        <v>270000</v>
      </c>
    </row>
    <row r="17" spans="1:8" x14ac:dyDescent="0.15">
      <c r="A17" s="32" t="s">
        <v>30</v>
      </c>
      <c r="B17" s="33">
        <f>Tanintharyi!H9</f>
        <v>29598.7</v>
      </c>
      <c r="C17" s="34">
        <f>Table67[[#This Row],[Total Cost of SMEB per individual]]*0.1</f>
        <v>4553.6461538461544</v>
      </c>
      <c r="D17" s="34">
        <f>Table67[[#This Row],[Total Cost of SMEB per individual]]*0.21</f>
        <v>9562.6569230769237</v>
      </c>
      <c r="E17" s="34">
        <f>Table67[[#This Row],[Total Cost of SMEB per individual]]*0.04</f>
        <v>1821.4584615384615</v>
      </c>
      <c r="F17" s="27">
        <f xml:space="preserve"> Table67[[#This Row],[Cost of Individual full food ration (May 2023) 65% of SMEB]]/0.65</f>
        <v>45536.461538461539</v>
      </c>
      <c r="G17" s="35">
        <f>F17*5</f>
        <v>227682.30769230769</v>
      </c>
      <c r="H17" s="45">
        <f>MROUND(Table67[[#This Row],[Cost of SMEB for a household of 5]],5000)</f>
        <v>230000</v>
      </c>
    </row>
    <row r="18" spans="1:8" x14ac:dyDescent="0.15">
      <c r="A18" s="32" t="s">
        <v>32</v>
      </c>
      <c r="B18" s="33">
        <f>Yangon!H10</f>
        <v>30364.15</v>
      </c>
      <c r="C18" s="34">
        <f>Table67[[#This Row],[Total Cost of SMEB per individual]]*0.1</f>
        <v>4671.4076923076927</v>
      </c>
      <c r="D18" s="34">
        <f>Table67[[#This Row],[Total Cost of SMEB per individual]]*0.21</f>
        <v>9809.956153846153</v>
      </c>
      <c r="E18" s="34">
        <f>Table67[[#This Row],[Total Cost of SMEB per individual]]*0.04</f>
        <v>1868.563076923077</v>
      </c>
      <c r="F18" s="34">
        <f xml:space="preserve"> Table67[[#This Row],[Cost of Individual full food ration (May 2023) 65% of SMEB]]/0.65</f>
        <v>46714.076923076922</v>
      </c>
      <c r="G18" s="35">
        <f>F18*5</f>
        <v>233570.38461538462</v>
      </c>
      <c r="H18" s="45">
        <f>MROUND(Table67[[#This Row],[Cost of SMEB for a household of 5]],5000)</f>
        <v>235000</v>
      </c>
    </row>
  </sheetData>
  <phoneticPr fontId="10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B87E-A346-2D4C-8B0E-E11AC645F124}">
  <dimension ref="A1:L17"/>
  <sheetViews>
    <sheetView zoomScale="130" zoomScaleNormal="130" workbookViewId="0">
      <selection activeCell="G13" sqref="G13"/>
    </sheetView>
  </sheetViews>
  <sheetFormatPr baseColWidth="10" defaultColWidth="11.5" defaultRowHeight="13" x14ac:dyDescent="0.15"/>
  <cols>
    <col min="1" max="1" width="15.1640625" customWidth="1"/>
    <col min="2" max="2" width="13" customWidth="1"/>
    <col min="3" max="3" width="8.6640625" customWidth="1"/>
    <col min="4" max="4" width="22.5" customWidth="1"/>
    <col min="6" max="6" width="13.5" customWidth="1"/>
    <col min="7" max="7" width="14.5" customWidth="1"/>
    <col min="8" max="8" width="14.6640625" customWidth="1"/>
  </cols>
  <sheetData>
    <row r="1" spans="1:12" x14ac:dyDescent="0.15">
      <c r="A1" s="8"/>
    </row>
    <row r="2" spans="1:12" ht="14" x14ac:dyDescent="0.15">
      <c r="A2" s="10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4" x14ac:dyDescent="0.15">
      <c r="A4" s="12" t="s">
        <v>33</v>
      </c>
      <c r="B4" s="11"/>
      <c r="C4" s="11"/>
      <c r="D4" s="11"/>
      <c r="E4" s="11"/>
      <c r="F4" s="12" t="s">
        <v>34</v>
      </c>
      <c r="G4" s="11"/>
      <c r="H4" s="11"/>
      <c r="I4" s="11"/>
      <c r="J4" s="10" t="s">
        <v>0</v>
      </c>
      <c r="K4" s="11"/>
      <c r="L4" s="11"/>
    </row>
    <row r="5" spans="1:12" ht="45" x14ac:dyDescent="0.15">
      <c r="A5" s="13" t="s">
        <v>35</v>
      </c>
      <c r="B5" s="13" t="s">
        <v>1</v>
      </c>
      <c r="C5" s="13" t="s">
        <v>2</v>
      </c>
      <c r="D5" s="13" t="s">
        <v>53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36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1550</v>
      </c>
      <c r="E6" s="11"/>
      <c r="F6" s="20" t="s">
        <v>8</v>
      </c>
      <c r="G6" s="19">
        <v>13.5</v>
      </c>
      <c r="H6" s="37">
        <f>Table_11922[[#This Row],[WFP Ration Size (per individual)]]*Table_621[[#This Row],[Average Price May 2023]]</f>
        <v>20925</v>
      </c>
      <c r="I6" s="11"/>
      <c r="J6" s="25">
        <f>H10</f>
        <v>35887.1</v>
      </c>
      <c r="K6" s="21">
        <v>5</v>
      </c>
      <c r="L6" s="22">
        <f>J6*K6</f>
        <v>179435.5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3920</v>
      </c>
      <c r="E7" s="11"/>
      <c r="F7" s="20" t="s">
        <v>11</v>
      </c>
      <c r="G7" s="19">
        <v>1.8</v>
      </c>
      <c r="H7" s="37">
        <f>Table_11922[[#This Row],[WFP Ration Size (per individual)]]*Table_621[[#This Row],[Average Price May 2023]]</f>
        <v>7056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7793</v>
      </c>
      <c r="E8" s="11"/>
      <c r="F8" s="20" t="s">
        <v>13</v>
      </c>
      <c r="G8" s="19">
        <v>1</v>
      </c>
      <c r="H8" s="37">
        <f>Table_11922[[#This Row],[WFP Ration Size (per individual)]]*Table_621[[#This Row],[Average Price May 2023]]</f>
        <v>7793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754</v>
      </c>
      <c r="E9" s="11"/>
      <c r="F9" s="20" t="s">
        <v>16</v>
      </c>
      <c r="G9" s="19">
        <v>0.15</v>
      </c>
      <c r="H9" s="37">
        <f>Table_11922[[#This Row],[WFP Ration Size (per individual)]]*Table_621[[#This Row],[Average Price May 2023]]</f>
        <v>113.1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35887.1</v>
      </c>
      <c r="I10" s="11"/>
      <c r="J10" s="11"/>
      <c r="K10" s="11"/>
      <c r="L10" s="11"/>
    </row>
    <row r="11" spans="1:12" x14ac:dyDescent="0.15">
      <c r="A11" s="1"/>
    </row>
    <row r="12" spans="1:12" x14ac:dyDescent="0.15">
      <c r="A12" s="3"/>
      <c r="B12" s="3"/>
      <c r="C12" s="3"/>
    </row>
    <row r="13" spans="1:12" x14ac:dyDescent="0.15">
      <c r="A13" s="2"/>
      <c r="B13" s="2"/>
      <c r="C13" s="4"/>
    </row>
    <row r="14" spans="1:12" x14ac:dyDescent="0.15">
      <c r="A14" s="2"/>
      <c r="B14" s="2"/>
      <c r="C14" s="4"/>
    </row>
    <row r="15" spans="1:12" x14ac:dyDescent="0.15">
      <c r="A15" s="2"/>
      <c r="B15" s="2"/>
      <c r="C15" s="4"/>
    </row>
    <row r="16" spans="1:12" x14ac:dyDescent="0.15">
      <c r="A16" s="2"/>
      <c r="B16" s="2"/>
      <c r="C16" s="4"/>
    </row>
    <row r="17" spans="1:3" x14ac:dyDescent="0.15">
      <c r="A17" s="1"/>
      <c r="B17" s="1"/>
      <c r="C17" s="5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0E8B-5226-594F-A0DA-C010E0EDCA22}">
  <dimension ref="A1:L8"/>
  <sheetViews>
    <sheetView zoomScale="140" zoomScaleNormal="140" workbookViewId="0">
      <selection activeCell="D3" sqref="D3"/>
    </sheetView>
  </sheetViews>
  <sheetFormatPr baseColWidth="10" defaultColWidth="11.5" defaultRowHeight="13" x14ac:dyDescent="0.15"/>
  <cols>
    <col min="1" max="1" width="15.1640625" customWidth="1"/>
    <col min="2" max="2" width="12.83203125" customWidth="1"/>
    <col min="3" max="3" width="10.33203125" customWidth="1"/>
    <col min="4" max="4" width="22.33203125" customWidth="1"/>
  </cols>
  <sheetData>
    <row r="1" spans="1:12" x14ac:dyDescent="0.15">
      <c r="A1" s="9" t="s">
        <v>38</v>
      </c>
    </row>
    <row r="2" spans="1:12" ht="14" x14ac:dyDescent="0.15">
      <c r="A2" s="12" t="s">
        <v>33</v>
      </c>
      <c r="B2" s="11"/>
      <c r="C2" s="11"/>
      <c r="D2" s="11"/>
      <c r="E2" s="11"/>
      <c r="F2" s="12" t="s">
        <v>34</v>
      </c>
      <c r="G2" s="11"/>
      <c r="H2" s="11"/>
      <c r="I2" s="11"/>
      <c r="J2" s="10" t="s">
        <v>0</v>
      </c>
      <c r="K2" s="11"/>
      <c r="L2" s="11"/>
    </row>
    <row r="3" spans="1:12" ht="60" x14ac:dyDescent="0.15">
      <c r="A3" s="13" t="s">
        <v>35</v>
      </c>
      <c r="B3" s="13" t="s">
        <v>1</v>
      </c>
      <c r="C3" s="13" t="s">
        <v>2</v>
      </c>
      <c r="D3" s="13" t="s">
        <v>52</v>
      </c>
      <c r="E3" s="14"/>
      <c r="F3" s="15" t="s">
        <v>3</v>
      </c>
      <c r="G3" s="16" t="s">
        <v>4</v>
      </c>
      <c r="H3" s="17" t="s">
        <v>5</v>
      </c>
      <c r="I3" s="14"/>
      <c r="J3" s="16" t="s">
        <v>6</v>
      </c>
      <c r="K3" s="18" t="s">
        <v>7</v>
      </c>
      <c r="L3" s="17" t="s">
        <v>36</v>
      </c>
    </row>
    <row r="4" spans="1:12" ht="14" x14ac:dyDescent="0.15">
      <c r="A4" s="19" t="s">
        <v>8</v>
      </c>
      <c r="B4" s="19" t="s">
        <v>9</v>
      </c>
      <c r="C4" s="19" t="s">
        <v>10</v>
      </c>
      <c r="D4" s="42">
        <v>1503</v>
      </c>
      <c r="E4" s="11"/>
      <c r="F4" s="20" t="s">
        <v>8</v>
      </c>
      <c r="G4" s="19">
        <v>13.5</v>
      </c>
      <c r="H4" s="37">
        <f>Table_1192225[[#This Row],[WFP Ration Size (per individual)]]*Table_62124[[#This Row],[Avg Price May 2023 (MMK)]]</f>
        <v>20290.5</v>
      </c>
      <c r="I4" s="11"/>
      <c r="J4" s="25">
        <f>H8</f>
        <v>32994.200000000004</v>
      </c>
      <c r="K4" s="21">
        <v>5</v>
      </c>
      <c r="L4" s="22">
        <f>J4*K4</f>
        <v>164971.00000000003</v>
      </c>
    </row>
    <row r="5" spans="1:12" ht="14" x14ac:dyDescent="0.15">
      <c r="A5" s="19" t="s">
        <v>11</v>
      </c>
      <c r="B5" s="19" t="s">
        <v>12</v>
      </c>
      <c r="C5" s="19" t="s">
        <v>10</v>
      </c>
      <c r="D5" s="42">
        <v>3776</v>
      </c>
      <c r="E5" s="11"/>
      <c r="F5" s="20" t="s">
        <v>11</v>
      </c>
      <c r="G5" s="19">
        <v>1.8</v>
      </c>
      <c r="H5" s="37">
        <f>Table_1192225[[#This Row],[WFP Ration Size (per individual)]]*Table_62124[[#This Row],[Avg Price May 2023 (MMK)]]</f>
        <v>6796.8</v>
      </c>
      <c r="I5" s="11"/>
      <c r="J5" s="11"/>
      <c r="K5" s="11"/>
      <c r="L5" s="11"/>
    </row>
    <row r="6" spans="1:12" ht="14" x14ac:dyDescent="0.15">
      <c r="A6" s="19" t="s">
        <v>13</v>
      </c>
      <c r="B6" s="19" t="s">
        <v>14</v>
      </c>
      <c r="C6" s="19" t="s">
        <v>15</v>
      </c>
      <c r="D6" s="42">
        <v>5810</v>
      </c>
      <c r="E6" s="11"/>
      <c r="F6" s="20" t="s">
        <v>13</v>
      </c>
      <c r="G6" s="19">
        <v>1</v>
      </c>
      <c r="H6" s="37">
        <f>Table_1192225[[#This Row],[WFP Ration Size (per individual)]]*Table_62124[[#This Row],[Avg Price May 2023 (MMK)]]</f>
        <v>5810</v>
      </c>
      <c r="I6" s="11"/>
      <c r="J6" s="11"/>
      <c r="K6" s="11"/>
      <c r="L6" s="11"/>
    </row>
    <row r="7" spans="1:12" ht="14" x14ac:dyDescent="0.15">
      <c r="A7" s="19" t="s">
        <v>16</v>
      </c>
      <c r="B7" s="19"/>
      <c r="C7" s="19" t="s">
        <v>10</v>
      </c>
      <c r="D7" s="42">
        <v>646</v>
      </c>
      <c r="E7" s="11"/>
      <c r="F7" s="20" t="s">
        <v>16</v>
      </c>
      <c r="G7" s="19">
        <v>0.15</v>
      </c>
      <c r="H7" s="37">
        <f>Table_1192225[[#This Row],[WFP Ration Size (per individual)]]*Table_62124[[#This Row],[Avg Price May 2023 (MMK)]]</f>
        <v>96.899999999999991</v>
      </c>
      <c r="I7" s="11"/>
      <c r="J7" s="11"/>
      <c r="K7" s="11"/>
      <c r="L7" s="11"/>
    </row>
    <row r="8" spans="1:12" ht="14" x14ac:dyDescent="0.15">
      <c r="A8" s="11"/>
      <c r="B8" s="11"/>
      <c r="C8" s="11"/>
      <c r="D8" s="11"/>
      <c r="E8" s="11"/>
      <c r="F8" s="23" t="s">
        <v>17</v>
      </c>
      <c r="G8" s="24"/>
      <c r="H8" s="38">
        <f>SUM(H4:H7)</f>
        <v>32994.200000000004</v>
      </c>
      <c r="I8" s="11"/>
      <c r="J8" s="11"/>
      <c r="K8" s="11"/>
      <c r="L8" s="11"/>
    </row>
  </sheetData>
  <conditionalFormatting sqref="A3:J3 L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70CD8-3267-2444-815B-D9355957B5F7}">
  <dimension ref="A3:L10"/>
  <sheetViews>
    <sheetView zoomScale="130" zoomScaleNormal="130" workbookViewId="0">
      <selection activeCell="D6" sqref="D6"/>
    </sheetView>
  </sheetViews>
  <sheetFormatPr baseColWidth="10" defaultColWidth="11.5" defaultRowHeight="13" x14ac:dyDescent="0.15"/>
  <cols>
    <col min="2" max="2" width="13.83203125" customWidth="1"/>
    <col min="4" max="4" width="22.6640625" customWidth="1"/>
  </cols>
  <sheetData>
    <row r="3" spans="1:12" ht="14" x14ac:dyDescent="0.15">
      <c r="A3" s="10" t="s">
        <v>40</v>
      </c>
    </row>
    <row r="4" spans="1:12" ht="14" x14ac:dyDescent="0.15">
      <c r="A4" s="12" t="s">
        <v>33</v>
      </c>
      <c r="B4" s="11"/>
      <c r="C4" s="11"/>
      <c r="D4" s="11"/>
      <c r="E4" s="11"/>
      <c r="F4" s="12" t="s">
        <v>34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35</v>
      </c>
      <c r="B5" s="13" t="s">
        <v>1</v>
      </c>
      <c r="C5" s="13" t="s">
        <v>2</v>
      </c>
      <c r="D5" s="13" t="s">
        <v>52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36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1363</v>
      </c>
      <c r="E6" s="11"/>
      <c r="F6" s="20" t="s">
        <v>8</v>
      </c>
      <c r="G6" s="19">
        <v>13.5</v>
      </c>
      <c r="H6" s="37">
        <f>Table_11922252852[[#This Row],[WFP Ration Size (per individual)]]*Table_621242751[[#This Row],[Avg Price May 2023 (MMK)]]</f>
        <v>18400.5</v>
      </c>
      <c r="I6" s="11"/>
      <c r="J6" s="25">
        <f>H10</f>
        <v>29395.149999999998</v>
      </c>
      <c r="K6" s="21">
        <v>5</v>
      </c>
      <c r="L6" s="22">
        <f>J6*K6</f>
        <v>146975.75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3501</v>
      </c>
      <c r="E7" s="11"/>
      <c r="F7" s="20" t="s">
        <v>11</v>
      </c>
      <c r="G7" s="19">
        <v>1.8</v>
      </c>
      <c r="H7" s="37">
        <f>Table_11922252852[[#This Row],[WFP Ration Size (per individual)]]*Table_621242751[[#This Row],[Avg Price May 2023 (MMK)]]</f>
        <v>6301.8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4636</v>
      </c>
      <c r="E8" s="11"/>
      <c r="F8" s="20" t="s">
        <v>13</v>
      </c>
      <c r="G8" s="19">
        <v>1</v>
      </c>
      <c r="H8" s="37">
        <f>Table_11922252852[[#This Row],[WFP Ration Size (per individual)]]*Table_621242751[[#This Row],[Avg Price May 2023 (MMK)]]</f>
        <v>4636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379</v>
      </c>
      <c r="E9" s="11"/>
      <c r="F9" s="20" t="s">
        <v>16</v>
      </c>
      <c r="G9" s="19">
        <v>0.15</v>
      </c>
      <c r="H9" s="37">
        <f>Table_11922252852[[#This Row],[WFP Ration Size (per individual)]]*Table_621242751[[#This Row],[Avg Price May 2023 (MMK)]]</f>
        <v>56.85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29395.149999999998</v>
      </c>
      <c r="I10" s="11"/>
      <c r="J10" s="11"/>
      <c r="K10" s="11"/>
      <c r="L10" s="11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2D4CA-C606-9B47-B697-2F877C15D01C}">
  <dimension ref="A1:L10"/>
  <sheetViews>
    <sheetView workbookViewId="0">
      <selection activeCell="C16" sqref="C16"/>
    </sheetView>
  </sheetViews>
  <sheetFormatPr baseColWidth="10" defaultColWidth="11.5" defaultRowHeight="13" x14ac:dyDescent="0.15"/>
  <cols>
    <col min="2" max="2" width="13.33203125" customWidth="1"/>
    <col min="4" max="4" width="24.5" customWidth="1"/>
  </cols>
  <sheetData>
    <row r="1" spans="1:12" x14ac:dyDescent="0.15">
      <c r="A1" s="8"/>
    </row>
    <row r="3" spans="1:12" ht="14" x14ac:dyDescent="0.15">
      <c r="A3" s="26" t="s">
        <v>29</v>
      </c>
    </row>
    <row r="4" spans="1:12" ht="14" x14ac:dyDescent="0.15">
      <c r="A4" s="12" t="s">
        <v>33</v>
      </c>
      <c r="B4" s="11"/>
      <c r="C4" s="11"/>
      <c r="D4" s="11"/>
      <c r="E4" s="11"/>
      <c r="F4" s="12" t="s">
        <v>34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35</v>
      </c>
      <c r="B5" s="13" t="s">
        <v>1</v>
      </c>
      <c r="C5" s="13" t="s">
        <v>2</v>
      </c>
      <c r="D5" s="13" t="s">
        <v>52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36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1432</v>
      </c>
      <c r="E6" s="11"/>
      <c r="F6" s="20" t="s">
        <v>8</v>
      </c>
      <c r="G6" s="19">
        <v>13.5</v>
      </c>
      <c r="H6" s="37">
        <f>Table_11922252855[[#This Row],[WFP Ration Size (per individual)]]*Table_621242754[[#This Row],[Avg Price May 2023 (MMK)]]</f>
        <v>19332</v>
      </c>
      <c r="I6" s="11"/>
      <c r="J6" s="25">
        <f>H10</f>
        <v>29927.200000000001</v>
      </c>
      <c r="K6" s="21">
        <v>5</v>
      </c>
      <c r="L6" s="22">
        <f>J6*K6</f>
        <v>149636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3423</v>
      </c>
      <c r="E7" s="11"/>
      <c r="F7" s="20" t="s">
        <v>11</v>
      </c>
      <c r="G7" s="19">
        <v>1.8</v>
      </c>
      <c r="H7" s="37">
        <f>Table_11922252855[[#This Row],[WFP Ration Size (per individual)]]*Table_621242754[[#This Row],[Avg Price May 2023 (MMK)]]</f>
        <v>6161.4000000000005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4366</v>
      </c>
      <c r="E8" s="11"/>
      <c r="F8" s="20" t="s">
        <v>13</v>
      </c>
      <c r="G8" s="19">
        <v>1</v>
      </c>
      <c r="H8" s="37">
        <f>Table_11922252855[[#This Row],[WFP Ration Size (per individual)]]*Table_621242754[[#This Row],[Avg Price May 2023 (MMK)]]</f>
        <v>4366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452</v>
      </c>
      <c r="E9" s="11"/>
      <c r="F9" s="20" t="s">
        <v>16</v>
      </c>
      <c r="G9" s="19">
        <v>0.15</v>
      </c>
      <c r="H9" s="37">
        <f>Table_11922252855[[#This Row],[WFP Ration Size (per individual)]]*Table_621242754[[#This Row],[Avg Price May 2023 (MMK)]]</f>
        <v>67.8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29927.200000000001</v>
      </c>
      <c r="I10" s="11"/>
      <c r="J10" s="11"/>
      <c r="K10" s="11"/>
      <c r="L10" s="11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1EEB-D9CE-D84F-B0E8-FE9285E3DAB3}">
  <dimension ref="A2:L9"/>
  <sheetViews>
    <sheetView topLeftCell="C1" zoomScale="130" zoomScaleNormal="130" workbookViewId="0">
      <selection activeCell="D4" sqref="D4"/>
    </sheetView>
  </sheetViews>
  <sheetFormatPr baseColWidth="10" defaultColWidth="11.5" defaultRowHeight="13" x14ac:dyDescent="0.15"/>
  <cols>
    <col min="4" max="4" width="22.1640625" customWidth="1"/>
  </cols>
  <sheetData>
    <row r="2" spans="1:12" x14ac:dyDescent="0.15">
      <c r="A2" s="9" t="s">
        <v>24</v>
      </c>
    </row>
    <row r="3" spans="1:12" ht="14" x14ac:dyDescent="0.15">
      <c r="A3" s="12" t="s">
        <v>33</v>
      </c>
      <c r="B3" s="11"/>
      <c r="C3" s="11"/>
      <c r="D3" s="11"/>
      <c r="E3" s="11"/>
      <c r="F3" s="12" t="s">
        <v>34</v>
      </c>
      <c r="G3" s="11"/>
      <c r="H3" s="11"/>
      <c r="I3" s="11"/>
      <c r="J3" s="10" t="s">
        <v>0</v>
      </c>
      <c r="K3" s="11"/>
      <c r="L3" s="11"/>
    </row>
    <row r="4" spans="1:12" ht="60" x14ac:dyDescent="0.15">
      <c r="A4" s="13" t="s">
        <v>35</v>
      </c>
      <c r="B4" s="13" t="s">
        <v>1</v>
      </c>
      <c r="C4" s="13" t="s">
        <v>2</v>
      </c>
      <c r="D4" s="13" t="s">
        <v>52</v>
      </c>
      <c r="E4" s="14"/>
      <c r="F4" s="15" t="s">
        <v>3</v>
      </c>
      <c r="G4" s="16" t="s">
        <v>4</v>
      </c>
      <c r="H4" s="17" t="s">
        <v>5</v>
      </c>
      <c r="I4" s="14"/>
      <c r="J4" s="16" t="s">
        <v>6</v>
      </c>
      <c r="K4" s="18" t="s">
        <v>7</v>
      </c>
      <c r="L4" s="17" t="s">
        <v>36</v>
      </c>
    </row>
    <row r="5" spans="1:12" ht="14" x14ac:dyDescent="0.15">
      <c r="A5" s="19" t="s">
        <v>8</v>
      </c>
      <c r="B5" s="19" t="s">
        <v>9</v>
      </c>
      <c r="C5" s="19" t="s">
        <v>10</v>
      </c>
      <c r="D5" s="42">
        <v>1406</v>
      </c>
      <c r="E5" s="11"/>
      <c r="F5" s="20" t="s">
        <v>8</v>
      </c>
      <c r="G5" s="19">
        <v>13.5</v>
      </c>
      <c r="H5" s="37">
        <f>Table_119222528[[#This Row],[WFP Ration Size (per individual)]]*Table_6212427[[#This Row],[Avg Price May 2023 (MMK)]]</f>
        <v>18981</v>
      </c>
      <c r="I5" s="11"/>
      <c r="J5" s="25">
        <f>H9</f>
        <v>29022.850000000002</v>
      </c>
      <c r="K5" s="21">
        <v>5</v>
      </c>
      <c r="L5" s="22">
        <f>J5*K5</f>
        <v>145114.25</v>
      </c>
    </row>
    <row r="6" spans="1:12" ht="14" x14ac:dyDescent="0.15">
      <c r="A6" s="19" t="s">
        <v>11</v>
      </c>
      <c r="B6" s="19" t="s">
        <v>12</v>
      </c>
      <c r="C6" s="19" t="s">
        <v>10</v>
      </c>
      <c r="D6" s="42">
        <v>3234</v>
      </c>
      <c r="E6" s="11"/>
      <c r="F6" s="20" t="s">
        <v>11</v>
      </c>
      <c r="G6" s="19">
        <v>1.8</v>
      </c>
      <c r="H6" s="37">
        <f>Table_119222528[[#This Row],[WFP Ration Size (per individual)]]*Table_6212427[[#This Row],[Avg Price May 2023 (MMK)]]</f>
        <v>5821.2</v>
      </c>
      <c r="I6" s="11"/>
      <c r="J6" s="11"/>
      <c r="K6" s="11"/>
      <c r="L6" s="11"/>
    </row>
    <row r="7" spans="1:12" ht="14" x14ac:dyDescent="0.15">
      <c r="A7" s="19" t="s">
        <v>13</v>
      </c>
      <c r="B7" s="19" t="s">
        <v>14</v>
      </c>
      <c r="C7" s="19" t="s">
        <v>15</v>
      </c>
      <c r="D7" s="42">
        <v>4156</v>
      </c>
      <c r="E7" s="11"/>
      <c r="F7" s="20" t="s">
        <v>13</v>
      </c>
      <c r="G7" s="19">
        <v>1</v>
      </c>
      <c r="H7" s="37">
        <f>Table_119222528[[#This Row],[WFP Ration Size (per individual)]]*Table_6212427[[#This Row],[Avg Price May 2023 (MMK)]]</f>
        <v>4156</v>
      </c>
      <c r="I7" s="11"/>
      <c r="J7" s="11"/>
      <c r="K7" s="11"/>
      <c r="L7" s="11"/>
    </row>
    <row r="8" spans="1:12" ht="14" x14ac:dyDescent="0.15">
      <c r="A8" s="19" t="s">
        <v>16</v>
      </c>
      <c r="B8" s="19"/>
      <c r="C8" s="19" t="s">
        <v>10</v>
      </c>
      <c r="D8" s="42">
        <v>431</v>
      </c>
      <c r="E8" s="11"/>
      <c r="F8" s="20" t="s">
        <v>16</v>
      </c>
      <c r="G8" s="19">
        <v>0.15</v>
      </c>
      <c r="H8" s="37">
        <f>Table_119222528[[#This Row],[WFP Ration Size (per individual)]]*Table_6212427[[#This Row],[Avg Price May 2023 (MMK)]]</f>
        <v>64.649999999999991</v>
      </c>
      <c r="I8" s="11"/>
      <c r="J8" s="11"/>
      <c r="K8" s="11"/>
      <c r="L8" s="11"/>
    </row>
    <row r="9" spans="1:12" ht="14" x14ac:dyDescent="0.15">
      <c r="A9" s="11"/>
      <c r="B9" s="11"/>
      <c r="C9" s="11"/>
      <c r="D9" s="11"/>
      <c r="E9" s="11"/>
      <c r="F9" s="23" t="s">
        <v>17</v>
      </c>
      <c r="G9" s="24"/>
      <c r="H9" s="38">
        <f>SUM(H5:H8)</f>
        <v>29022.850000000002</v>
      </c>
      <c r="I9" s="11"/>
      <c r="J9" s="11"/>
      <c r="K9" s="11"/>
      <c r="L9" s="11"/>
    </row>
  </sheetData>
  <conditionalFormatting sqref="A4:J4 L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F219D-3D21-C641-B31D-8BAE32B173DF}">
  <dimension ref="A2:L9"/>
  <sheetViews>
    <sheetView zoomScale="130" zoomScaleNormal="130" workbookViewId="0">
      <selection activeCell="D12" sqref="D12"/>
    </sheetView>
  </sheetViews>
  <sheetFormatPr baseColWidth="10" defaultColWidth="11.5" defaultRowHeight="13" x14ac:dyDescent="0.15"/>
  <cols>
    <col min="2" max="2" width="13" customWidth="1"/>
    <col min="4" max="4" width="26.83203125" customWidth="1"/>
  </cols>
  <sheetData>
    <row r="2" spans="1:12" ht="14" x14ac:dyDescent="0.15">
      <c r="A2" s="10" t="s">
        <v>25</v>
      </c>
    </row>
    <row r="3" spans="1:12" ht="14" x14ac:dyDescent="0.15">
      <c r="A3" s="12" t="s">
        <v>33</v>
      </c>
      <c r="B3" s="11"/>
      <c r="C3" s="11"/>
      <c r="D3" s="11"/>
      <c r="E3" s="11"/>
      <c r="F3" s="12" t="s">
        <v>34</v>
      </c>
      <c r="G3" s="11"/>
      <c r="H3" s="11"/>
      <c r="I3" s="11"/>
      <c r="J3" s="10" t="s">
        <v>0</v>
      </c>
      <c r="K3" s="11"/>
      <c r="L3" s="11"/>
    </row>
    <row r="4" spans="1:12" ht="60" x14ac:dyDescent="0.15">
      <c r="A4" s="13" t="s">
        <v>35</v>
      </c>
      <c r="B4" s="13" t="s">
        <v>1</v>
      </c>
      <c r="C4" s="13" t="s">
        <v>2</v>
      </c>
      <c r="D4" s="13" t="s">
        <v>59</v>
      </c>
      <c r="E4" s="14"/>
      <c r="F4" s="15" t="s">
        <v>3</v>
      </c>
      <c r="G4" s="16" t="s">
        <v>4</v>
      </c>
      <c r="H4" s="17" t="s">
        <v>5</v>
      </c>
      <c r="I4" s="14"/>
      <c r="J4" s="16" t="s">
        <v>6</v>
      </c>
      <c r="K4" s="18" t="s">
        <v>7</v>
      </c>
      <c r="L4" s="17" t="s">
        <v>36</v>
      </c>
    </row>
    <row r="5" spans="1:12" ht="14" x14ac:dyDescent="0.15">
      <c r="A5" s="19" t="s">
        <v>8</v>
      </c>
      <c r="B5" s="19" t="s">
        <v>9</v>
      </c>
      <c r="C5" s="19" t="s">
        <v>10</v>
      </c>
      <c r="D5" s="42">
        <v>1544</v>
      </c>
      <c r="E5" s="11"/>
      <c r="F5" s="20" t="s">
        <v>8</v>
      </c>
      <c r="G5" s="19">
        <v>13.5</v>
      </c>
      <c r="H5" s="37">
        <f>Table_11922252831[[#This Row],[WFP Ration Size (per individual)]]*Table_621242730[[#This Row],[Avg Price May 2023  (MMK)]]</f>
        <v>20844</v>
      </c>
      <c r="I5" s="11"/>
      <c r="J5" s="25">
        <f>H9</f>
        <v>30997.050000000003</v>
      </c>
      <c r="K5" s="21">
        <v>5</v>
      </c>
      <c r="L5" s="22">
        <f>J5*K5</f>
        <v>154985.25</v>
      </c>
    </row>
    <row r="6" spans="1:12" ht="14" x14ac:dyDescent="0.15">
      <c r="A6" s="19" t="s">
        <v>11</v>
      </c>
      <c r="B6" s="19" t="s">
        <v>12</v>
      </c>
      <c r="C6" s="19" t="s">
        <v>10</v>
      </c>
      <c r="D6" s="42">
        <v>3393</v>
      </c>
      <c r="E6" s="11"/>
      <c r="F6" s="20" t="s">
        <v>11</v>
      </c>
      <c r="G6" s="19">
        <v>1.8</v>
      </c>
      <c r="H6" s="37">
        <f>Table_11922252831[[#This Row],[WFP Ration Size (per individual)]]*Table_621242730[[#This Row],[Avg Price May 2023  (MMK)]]</f>
        <v>6107.4000000000005</v>
      </c>
      <c r="I6" s="11"/>
      <c r="J6" s="11"/>
      <c r="K6" s="11"/>
      <c r="L6" s="11"/>
    </row>
    <row r="7" spans="1:12" ht="14" x14ac:dyDescent="0.15">
      <c r="A7" s="19" t="s">
        <v>13</v>
      </c>
      <c r="B7" s="19" t="s">
        <v>14</v>
      </c>
      <c r="C7" s="19" t="s">
        <v>15</v>
      </c>
      <c r="D7" s="42">
        <v>3978</v>
      </c>
      <c r="E7" s="11"/>
      <c r="F7" s="20" t="s">
        <v>13</v>
      </c>
      <c r="G7" s="19">
        <v>1</v>
      </c>
      <c r="H7" s="37">
        <f>Table_11922252831[[#This Row],[WFP Ration Size (per individual)]]*Table_621242730[[#This Row],[Avg Price May 2023  (MMK)]]</f>
        <v>3978</v>
      </c>
      <c r="I7" s="11"/>
      <c r="J7" s="11"/>
      <c r="K7" s="11"/>
      <c r="L7" s="11"/>
    </row>
    <row r="8" spans="1:12" ht="14" x14ac:dyDescent="0.15">
      <c r="A8" s="19" t="s">
        <v>16</v>
      </c>
      <c r="B8" s="19"/>
      <c r="C8" s="19" t="s">
        <v>10</v>
      </c>
      <c r="D8" s="42">
        <v>451</v>
      </c>
      <c r="E8" s="11"/>
      <c r="F8" s="20" t="s">
        <v>16</v>
      </c>
      <c r="G8" s="19">
        <v>0.15</v>
      </c>
      <c r="H8" s="37">
        <f>Table_11922252831[[#This Row],[WFP Ration Size (per individual)]]*Table_621242730[[#This Row],[Avg Price May 2023  (MMK)]]</f>
        <v>67.649999999999991</v>
      </c>
      <c r="I8" s="11"/>
      <c r="J8" s="11"/>
      <c r="K8" s="11"/>
      <c r="L8" s="11"/>
    </row>
    <row r="9" spans="1:12" ht="14" x14ac:dyDescent="0.15">
      <c r="A9" s="11"/>
      <c r="B9" s="11"/>
      <c r="C9" s="11"/>
      <c r="D9" s="11"/>
      <c r="E9" s="11"/>
      <c r="F9" s="23" t="s">
        <v>17</v>
      </c>
      <c r="G9" s="24"/>
      <c r="H9" s="38">
        <f>SUM(H5:H8)</f>
        <v>30997.050000000003</v>
      </c>
      <c r="I9" s="11"/>
      <c r="J9" s="11"/>
      <c r="K9" s="11"/>
      <c r="L9" s="11"/>
    </row>
  </sheetData>
  <conditionalFormatting sqref="A4:J4 L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478C-87C8-D947-9689-1243B7AA9457}">
  <dimension ref="A3:L10"/>
  <sheetViews>
    <sheetView workbookViewId="0">
      <selection activeCell="E18" sqref="E18"/>
    </sheetView>
  </sheetViews>
  <sheetFormatPr baseColWidth="10" defaultColWidth="11.5" defaultRowHeight="13" x14ac:dyDescent="0.15"/>
  <cols>
    <col min="2" max="2" width="13" customWidth="1"/>
    <col min="4" max="4" width="23.1640625" customWidth="1"/>
  </cols>
  <sheetData>
    <row r="3" spans="1:12" x14ac:dyDescent="0.15">
      <c r="A3" s="9" t="s">
        <v>31</v>
      </c>
    </row>
    <row r="4" spans="1:12" ht="14" x14ac:dyDescent="0.15">
      <c r="A4" s="12" t="s">
        <v>33</v>
      </c>
      <c r="B4" s="11"/>
      <c r="C4" s="11"/>
      <c r="D4" s="11"/>
      <c r="E4" s="11"/>
      <c r="F4" s="12" t="s">
        <v>34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35</v>
      </c>
      <c r="B5" s="13" t="s">
        <v>1</v>
      </c>
      <c r="C5" s="13" t="s">
        <v>2</v>
      </c>
      <c r="D5" s="13" t="s">
        <v>52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36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1402</v>
      </c>
      <c r="E6" s="11"/>
      <c r="F6" s="20" t="s">
        <v>8</v>
      </c>
      <c r="G6" s="19">
        <v>13.5</v>
      </c>
      <c r="H6" s="37">
        <f>Table_119222528556467[[#This Row],[WFP Ration Size (per individual)]]*Table_6212427546366[[#This Row],[Avg Price May 2023 (MMK)]]</f>
        <v>18927</v>
      </c>
      <c r="I6" s="11"/>
      <c r="J6" s="25">
        <f>H10</f>
        <v>29908</v>
      </c>
      <c r="K6" s="21">
        <v>5</v>
      </c>
      <c r="L6" s="22">
        <f>J6*K6</f>
        <v>149540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3437</v>
      </c>
      <c r="E7" s="11"/>
      <c r="F7" s="20" t="s">
        <v>11</v>
      </c>
      <c r="G7" s="19">
        <v>1.8</v>
      </c>
      <c r="H7" s="37">
        <f>Table_119222528556467[[#This Row],[WFP Ration Size (per individual)]]*Table_6212427546366[[#This Row],[Avg Price May 2023 (MMK)]]</f>
        <v>6186.6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4750</v>
      </c>
      <c r="E8" s="11"/>
      <c r="F8" s="20" t="s">
        <v>13</v>
      </c>
      <c r="G8" s="19">
        <v>1</v>
      </c>
      <c r="H8" s="37">
        <f>Table_119222528556467[[#This Row],[WFP Ration Size (per individual)]]*Table_6212427546366[[#This Row],[Avg Price May 2023 (MMK)]]</f>
        <v>4750</v>
      </c>
      <c r="I8" s="11"/>
      <c r="J8" s="11"/>
      <c r="K8" s="11"/>
      <c r="L8" s="11"/>
    </row>
    <row r="9" spans="1:12" ht="14" x14ac:dyDescent="0.15">
      <c r="A9" s="19" t="s">
        <v>16</v>
      </c>
      <c r="B9" s="19" t="s">
        <v>16</v>
      </c>
      <c r="C9" s="19" t="s">
        <v>10</v>
      </c>
      <c r="D9" s="42">
        <v>296</v>
      </c>
      <c r="E9" s="11"/>
      <c r="F9" s="20" t="s">
        <v>16</v>
      </c>
      <c r="G9" s="19">
        <v>0.15</v>
      </c>
      <c r="H9" s="37">
        <f>Table_119222528556467[[#This Row],[WFP Ration Size (per individual)]]*Table_6212427546366[[#This Row],[Avg Price May 2023 (MMK)]]</f>
        <v>44.4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29908</v>
      </c>
      <c r="I10" s="11"/>
      <c r="J10" s="11"/>
      <c r="K10" s="11"/>
      <c r="L10" s="11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e899d54f-d3bc-4355-9323-8e338fc7e9d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29788E56B5D4085D2E9776F9F216A" ma:contentTypeVersion="16" ma:contentTypeDescription="Create a new document." ma:contentTypeScope="" ma:versionID="bb8a665def170782cf7760432b45b314">
  <xsd:schema xmlns:xsd="http://www.w3.org/2001/XMLSchema" xmlns:xs="http://www.w3.org/2001/XMLSchema" xmlns:p="http://schemas.microsoft.com/office/2006/metadata/properties" xmlns:ns2="e899d54f-d3bc-4355-9323-8e338fc7e9d7" xmlns:ns3="a333398c-7e7e-40ff-96ad-b22bfc0f291a" xmlns:ns4="985ec44e-1bab-4c0b-9df0-6ba128686fc9" targetNamespace="http://schemas.microsoft.com/office/2006/metadata/properties" ma:root="true" ma:fieldsID="14bd09950b9cde9f3de9a39f66b6802b" ns2:_="" ns3:_="" ns4:_="">
    <xsd:import namespace="e899d54f-d3bc-4355-9323-8e338fc7e9d7"/>
    <xsd:import namespace="a333398c-7e7e-40ff-96ad-b22bfc0f291a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9d54f-d3bc-4355-9323-8e338fc7e9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3398c-7e7e-40ff-96ad-b22bfc0f2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c75af65-d45b-4ad4-9d84-f420ab9ee980}" ma:internalName="TaxCatchAll" ma:showField="CatchAllData" ma:web="a333398c-7e7e-40ff-96ad-b22bfc0f2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AFB765-DEF3-44E7-9A40-D2EE5E2D9C87}">
  <ds:schemaRefs>
    <ds:schemaRef ds:uri="a333398c-7e7e-40ff-96ad-b22bfc0f291a"/>
    <ds:schemaRef ds:uri="985ec44e-1bab-4c0b-9df0-6ba128686fc9"/>
    <ds:schemaRef ds:uri="e899d54f-d3bc-4355-9323-8e338fc7e9d7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06783A-22C5-46FC-999A-BA8E4A6C21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481244-C792-4A71-B566-A347A8FFA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99d54f-d3bc-4355-9323-8e338fc7e9d7"/>
    <ds:schemaRef ds:uri="a333398c-7e7e-40ff-96ad-b22bfc0f291a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National Level SMEB </vt:lpstr>
      <vt:lpstr>Consolidated State Tables</vt:lpstr>
      <vt:lpstr>Chin</vt:lpstr>
      <vt:lpstr>Kachin</vt:lpstr>
      <vt:lpstr>Kayah</vt:lpstr>
      <vt:lpstr>Kayin</vt:lpstr>
      <vt:lpstr>Magway</vt:lpstr>
      <vt:lpstr>Mandalay</vt:lpstr>
      <vt:lpstr>Mon</vt:lpstr>
      <vt:lpstr>Rakhine</vt:lpstr>
      <vt:lpstr>Sagaing North</vt:lpstr>
      <vt:lpstr>Sagaing South Central</vt:lpstr>
      <vt:lpstr>Shan (North)</vt:lpstr>
      <vt:lpstr>Shan (South)</vt:lpstr>
      <vt:lpstr>Tanintharyi</vt:lpstr>
      <vt:lpstr>Yangon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Nelson</cp:lastModifiedBy>
  <cp:revision/>
  <dcterms:created xsi:type="dcterms:W3CDTF">2022-05-10T03:05:40Z</dcterms:created>
  <dcterms:modified xsi:type="dcterms:W3CDTF">2023-06-16T04:03:56Z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0x01010090EEFF95B33FD745A32690361BBF5EB0</vt:lpwstr>
  </property>
  <property fmtid="{D5CDD505-2E9C-101B-9397-08002B2CF9AE}" pid="3" name="MediaServiceImageTags">
    <vt:lpwstr/>
  </property>
</Properties>
</file>